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__PLOCHA_2024_\Hod\"/>
    </mc:Choice>
  </mc:AlternateContent>
  <xr:revisionPtr revIDLastSave="0" documentId="13_ncr:1_{EE8E5B0B-5626-4E20-8524-1812B46BE1F2}" xr6:coauthVersionLast="47" xr6:coauthVersionMax="47" xr10:uidLastSave="{00000000-0000-0000-0000-000000000000}"/>
  <bookViews>
    <workbookView xWindow="300" yWindow="195" windowWidth="27825" windowHeight="15180" xr2:uid="{00000000-000D-0000-FFFF-FFFF00000000}"/>
  </bookViews>
  <sheets>
    <sheet name="24V EPS přídržné magnety " sheetId="3" r:id="rId1"/>
    <sheet name="12V EKV magnetické přídrže" sheetId="5" r:id="rId2"/>
    <sheet name="24V EKV magnetické přídrže_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5" i="3"/>
  <c r="I10" i="6"/>
  <c r="I9" i="6"/>
  <c r="I8" i="6"/>
  <c r="I7" i="6"/>
  <c r="I6" i="6"/>
  <c r="I5" i="6"/>
  <c r="D12" i="6" l="1"/>
  <c r="L32" i="6" s="1"/>
  <c r="G18" i="6" l="1"/>
  <c r="H18" i="6" s="1"/>
  <c r="L20" i="6"/>
  <c r="G29" i="6"/>
  <c r="G26" i="6"/>
  <c r="L31" i="6"/>
  <c r="L17" i="6"/>
  <c r="L23" i="6"/>
  <c r="L28" i="6"/>
  <c r="G25" i="6"/>
  <c r="G33" i="6"/>
  <c r="H33" i="6" s="1"/>
  <c r="G31" i="6"/>
  <c r="L19" i="6"/>
  <c r="L22" i="6"/>
  <c r="L27" i="6"/>
  <c r="G17" i="6"/>
  <c r="H17" i="6" s="1"/>
  <c r="L18" i="6"/>
  <c r="G20" i="6"/>
  <c r="H20" i="6" s="1"/>
  <c r="L26" i="6"/>
  <c r="G23" i="6"/>
  <c r="G21" i="6"/>
  <c r="G27" i="6"/>
  <c r="L29" i="6"/>
  <c r="L30" i="6"/>
  <c r="G24" i="6"/>
  <c r="G28" i="6"/>
  <c r="G32" i="6"/>
  <c r="G22" i="6"/>
  <c r="L25" i="6"/>
  <c r="L24" i="6"/>
  <c r="G19" i="6"/>
  <c r="H19" i="6" s="1"/>
  <c r="G30" i="6"/>
  <c r="L21" i="6"/>
  <c r="H29" i="6" l="1"/>
  <c r="H28" i="6"/>
  <c r="H31" i="6"/>
  <c r="H21" i="6"/>
  <c r="H25" i="6"/>
  <c r="H23" i="6"/>
  <c r="H22" i="6"/>
  <c r="H30" i="6"/>
  <c r="H32" i="6"/>
  <c r="H27" i="6"/>
  <c r="H26" i="6"/>
  <c r="H24" i="6"/>
  <c r="N17" i="6" l="1"/>
  <c r="B17" i="6" s="1"/>
  <c r="N19" i="6"/>
  <c r="B19" i="6" s="1"/>
  <c r="O20" i="6"/>
  <c r="C20" i="6" s="1"/>
  <c r="O17" i="6"/>
  <c r="C17" i="6" s="1"/>
  <c r="O19" i="6"/>
  <c r="C19" i="6" s="1"/>
  <c r="N18" i="6"/>
  <c r="N20" i="6"/>
  <c r="P20" i="6" s="1"/>
  <c r="N21" i="6"/>
  <c r="P21" i="6" s="1"/>
  <c r="O18" i="6"/>
  <c r="C18" i="6" s="1"/>
  <c r="O21" i="6"/>
  <c r="C21" i="6" s="1"/>
  <c r="O27" i="6"/>
  <c r="C27" i="6" s="1"/>
  <c r="N29" i="6"/>
  <c r="P29" i="6" s="1"/>
  <c r="N22" i="6"/>
  <c r="O23" i="6"/>
  <c r="C23" i="6" s="1"/>
  <c r="N33" i="6"/>
  <c r="P33" i="6" s="1"/>
  <c r="N30" i="6"/>
  <c r="B30" i="6" s="1"/>
  <c r="N28" i="6"/>
  <c r="P28" i="6" s="1"/>
  <c r="O30" i="6"/>
  <c r="C30" i="6" s="1"/>
  <c r="O24" i="6"/>
  <c r="C24" i="6" s="1"/>
  <c r="O31" i="6"/>
  <c r="C31" i="6" s="1"/>
  <c r="O29" i="6"/>
  <c r="C29" i="6" s="1"/>
  <c r="N31" i="6"/>
  <c r="P31" i="6" s="1"/>
  <c r="O26" i="6"/>
  <c r="C26" i="6" s="1"/>
  <c r="N23" i="6"/>
  <c r="N24" i="6"/>
  <c r="O33" i="6"/>
  <c r="N32" i="6"/>
  <c r="P32" i="6" s="1"/>
  <c r="O25" i="6"/>
  <c r="C25" i="6" s="1"/>
  <c r="O28" i="6"/>
  <c r="C28" i="6" s="1"/>
  <c r="N26" i="6"/>
  <c r="N27" i="6"/>
  <c r="B27" i="6" s="1"/>
  <c r="N25" i="6"/>
  <c r="O32" i="6"/>
  <c r="C32" i="6" s="1"/>
  <c r="O22" i="6"/>
  <c r="C22" i="6" s="1"/>
  <c r="P19" i="6" l="1"/>
  <c r="B20" i="6"/>
  <c r="D20" i="6" s="1"/>
  <c r="E27" i="6"/>
  <c r="F27" i="6" s="1"/>
  <c r="D27" i="6"/>
  <c r="E30" i="6"/>
  <c r="F30" i="6" s="1"/>
  <c r="D30" i="6"/>
  <c r="E19" i="6"/>
  <c r="F19" i="6" s="1"/>
  <c r="D19" i="6"/>
  <c r="E17" i="6"/>
  <c r="F17" i="6" s="1"/>
  <c r="D17" i="6"/>
  <c r="B28" i="6"/>
  <c r="P30" i="6"/>
  <c r="B31" i="6"/>
  <c r="B21" i="6"/>
  <c r="P17" i="6"/>
  <c r="B29" i="6"/>
  <c r="B18" i="6"/>
  <c r="P18" i="6"/>
  <c r="P27" i="6"/>
  <c r="B32" i="6"/>
  <c r="P22" i="6"/>
  <c r="B22" i="6"/>
  <c r="B24" i="6"/>
  <c r="P24" i="6"/>
  <c r="P25" i="6"/>
  <c r="B25" i="6"/>
  <c r="P23" i="6"/>
  <c r="B23" i="6"/>
  <c r="B26" i="6"/>
  <c r="P26" i="6"/>
  <c r="E20" i="6" l="1"/>
  <c r="F20" i="6" s="1"/>
  <c r="E29" i="6"/>
  <c r="F29" i="6" s="1"/>
  <c r="D29" i="6"/>
  <c r="E24" i="6"/>
  <c r="F24" i="6" s="1"/>
  <c r="D24" i="6"/>
  <c r="E22" i="6"/>
  <c r="F22" i="6" s="1"/>
  <c r="D22" i="6"/>
  <c r="E21" i="6"/>
  <c r="F21" i="6" s="1"/>
  <c r="D21" i="6"/>
  <c r="E18" i="6"/>
  <c r="F18" i="6" s="1"/>
  <c r="D18" i="6"/>
  <c r="E26" i="6"/>
  <c r="F26" i="6" s="1"/>
  <c r="D26" i="6"/>
  <c r="E31" i="6"/>
  <c r="F31" i="6" s="1"/>
  <c r="D31" i="6"/>
  <c r="E23" i="6"/>
  <c r="F23" i="6" s="1"/>
  <c r="D23" i="6"/>
  <c r="E32" i="6"/>
  <c r="F32" i="6" s="1"/>
  <c r="D32" i="6"/>
  <c r="E28" i="6"/>
  <c r="F28" i="6" s="1"/>
  <c r="D28" i="6"/>
  <c r="E25" i="6"/>
  <c r="F25" i="6" s="1"/>
  <c r="D25" i="6"/>
  <c r="F10" i="5" l="1"/>
  <c r="F9" i="5"/>
  <c r="F8" i="5"/>
  <c r="F7" i="5"/>
  <c r="F6" i="5"/>
  <c r="F5" i="5"/>
  <c r="D10" i="3" l="1"/>
  <c r="D12" i="5"/>
  <c r="L17" i="5" s="1"/>
  <c r="L16" i="3" l="1"/>
  <c r="L24" i="3"/>
  <c r="L30" i="3"/>
  <c r="L17" i="3"/>
  <c r="L25" i="3"/>
  <c r="L19" i="3"/>
  <c r="L27" i="3"/>
  <c r="L15" i="3"/>
  <c r="L18" i="3"/>
  <c r="L26" i="3"/>
  <c r="L20" i="3"/>
  <c r="L28" i="3"/>
  <c r="L23" i="3"/>
  <c r="L21" i="3"/>
  <c r="L29" i="3"/>
  <c r="L22" i="3"/>
  <c r="G24" i="5"/>
  <c r="H24" i="5" s="1"/>
  <c r="L19" i="5"/>
  <c r="L20" i="5"/>
  <c r="L21" i="5"/>
  <c r="L18" i="5"/>
  <c r="L22" i="5"/>
  <c r="G17" i="5"/>
  <c r="H17" i="5" s="1"/>
  <c r="G22" i="5"/>
  <c r="G18" i="5"/>
  <c r="H18" i="5" s="1"/>
  <c r="G21" i="5"/>
  <c r="G19" i="5"/>
  <c r="G23" i="5"/>
  <c r="H23" i="5" s="1"/>
  <c r="G20" i="5"/>
  <c r="R21" i="5"/>
  <c r="S21" i="5" s="1"/>
  <c r="R22" i="5"/>
  <c r="S22" i="5" s="1"/>
  <c r="R17" i="5"/>
  <c r="S17" i="5" s="1"/>
  <c r="R20" i="5"/>
  <c r="S20" i="5" s="1"/>
  <c r="R19" i="5"/>
  <c r="S19" i="5" s="1"/>
  <c r="R18" i="5"/>
  <c r="S18" i="5" s="1"/>
  <c r="G17" i="3"/>
  <c r="G29" i="3"/>
  <c r="G30" i="3"/>
  <c r="G19" i="3"/>
  <c r="G20" i="3"/>
  <c r="G26" i="3"/>
  <c r="G21" i="3"/>
  <c r="G15" i="3"/>
  <c r="H15" i="3" s="1"/>
  <c r="G16" i="3"/>
  <c r="G22" i="3"/>
  <c r="G27" i="3"/>
  <c r="G28" i="3"/>
  <c r="G25" i="3"/>
  <c r="G18" i="3"/>
  <c r="G23" i="3"/>
  <c r="G24" i="3"/>
  <c r="H20" i="5" l="1"/>
  <c r="H19" i="5"/>
  <c r="H21" i="5"/>
  <c r="H22" i="5"/>
  <c r="H26" i="3"/>
  <c r="H30" i="3"/>
  <c r="H25" i="3"/>
  <c r="H22" i="3"/>
  <c r="H16" i="3"/>
  <c r="H19" i="3"/>
  <c r="H27" i="3"/>
  <c r="H20" i="3"/>
  <c r="H23" i="3"/>
  <c r="H21" i="3"/>
  <c r="H29" i="3"/>
  <c r="H28" i="3"/>
  <c r="H24" i="3"/>
  <c r="H17" i="3"/>
  <c r="H18" i="3"/>
  <c r="N15" i="3" l="1"/>
  <c r="B15" i="3" s="1"/>
  <c r="N16" i="3"/>
  <c r="B16" i="3" s="1"/>
  <c r="O23" i="5"/>
  <c r="N24" i="5"/>
  <c r="O24" i="5"/>
  <c r="N23" i="5"/>
  <c r="O17" i="5"/>
  <c r="O22" i="5"/>
  <c r="N18" i="5"/>
  <c r="O18" i="5"/>
  <c r="N20" i="5"/>
  <c r="O19" i="5"/>
  <c r="N22" i="5"/>
  <c r="O20" i="5"/>
  <c r="N19" i="5"/>
  <c r="N21" i="5"/>
  <c r="N17" i="5"/>
  <c r="B17" i="5" s="1"/>
  <c r="E17" i="5" s="1"/>
  <c r="O21" i="5"/>
  <c r="O15" i="3"/>
  <c r="C15" i="3" s="1"/>
  <c r="O16" i="3"/>
  <c r="C16" i="3" s="1"/>
  <c r="O28" i="3"/>
  <c r="C28" i="3" s="1"/>
  <c r="N26" i="3"/>
  <c r="B26" i="3" s="1"/>
  <c r="N17" i="3"/>
  <c r="B17" i="3" s="1"/>
  <c r="O22" i="3"/>
  <c r="C22" i="3" s="1"/>
  <c r="O26" i="3"/>
  <c r="C26" i="3" s="1"/>
  <c r="N21" i="3"/>
  <c r="B21" i="3" s="1"/>
  <c r="N18" i="3"/>
  <c r="N20" i="3"/>
  <c r="B20" i="3" s="1"/>
  <c r="O25" i="3"/>
  <c r="C25" i="3" s="1"/>
  <c r="N24" i="3"/>
  <c r="B24" i="3" s="1"/>
  <c r="O29" i="3"/>
  <c r="C29" i="3" s="1"/>
  <c r="O20" i="3"/>
  <c r="C20" i="3" s="1"/>
  <c r="O17" i="3"/>
  <c r="C17" i="3" s="1"/>
  <c r="N30" i="3"/>
  <c r="B30" i="3" s="1"/>
  <c r="O27" i="3"/>
  <c r="C27" i="3" s="1"/>
  <c r="O21" i="3"/>
  <c r="C21" i="3" s="1"/>
  <c r="N19" i="3"/>
  <c r="B19" i="3" s="1"/>
  <c r="N28" i="3"/>
  <c r="B28" i="3" s="1"/>
  <c r="N27" i="3"/>
  <c r="O24" i="3"/>
  <c r="C24" i="3" s="1"/>
  <c r="O18" i="3"/>
  <c r="C18" i="3" s="1"/>
  <c r="N25" i="3"/>
  <c r="O23" i="3"/>
  <c r="C23" i="3" s="1"/>
  <c r="O30" i="3"/>
  <c r="C30" i="3" s="1"/>
  <c r="N22" i="3"/>
  <c r="N29" i="3"/>
  <c r="O19" i="3"/>
  <c r="C19" i="3" s="1"/>
  <c r="N23" i="3"/>
  <c r="E17" i="3" l="1"/>
  <c r="F17" i="3" s="1"/>
  <c r="D17" i="3"/>
  <c r="E28" i="3"/>
  <c r="F28" i="3" s="1"/>
  <c r="D28" i="3"/>
  <c r="E19" i="3"/>
  <c r="F19" i="3" s="1"/>
  <c r="D19" i="3"/>
  <c r="E24" i="3"/>
  <c r="F24" i="3" s="1"/>
  <c r="D24" i="3"/>
  <c r="E20" i="3"/>
  <c r="F20" i="3" s="1"/>
  <c r="D20" i="3"/>
  <c r="E30" i="3"/>
  <c r="F30" i="3" s="1"/>
  <c r="D30" i="3"/>
  <c r="E21" i="3"/>
  <c r="F21" i="3" s="1"/>
  <c r="D21" i="3"/>
  <c r="E16" i="3"/>
  <c r="F16" i="3" s="1"/>
  <c r="D16" i="3"/>
  <c r="E26" i="3"/>
  <c r="F26" i="3" s="1"/>
  <c r="D26" i="3"/>
  <c r="E15" i="3"/>
  <c r="F15" i="3" s="1"/>
  <c r="D15" i="3"/>
  <c r="F17" i="5"/>
  <c r="D17" i="5"/>
  <c r="P29" i="3"/>
  <c r="B29" i="3"/>
  <c r="P25" i="3"/>
  <c r="B25" i="3"/>
  <c r="P22" i="3"/>
  <c r="B22" i="3"/>
  <c r="P23" i="3"/>
  <c r="B23" i="3"/>
  <c r="P27" i="3"/>
  <c r="B27" i="3"/>
  <c r="P18" i="3"/>
  <c r="B18" i="3"/>
  <c r="P16" i="3"/>
  <c r="P20" i="3"/>
  <c r="P15" i="3"/>
  <c r="P26" i="3"/>
  <c r="P21" i="3"/>
  <c r="P30" i="3"/>
  <c r="P24" i="3"/>
  <c r="P17" i="3"/>
  <c r="P28" i="3"/>
  <c r="P19" i="3"/>
  <c r="E27" i="3" l="1"/>
  <c r="F27" i="3" s="1"/>
  <c r="D27" i="3"/>
  <c r="E29" i="3"/>
  <c r="F29" i="3" s="1"/>
  <c r="D29" i="3"/>
  <c r="E22" i="3"/>
  <c r="F22" i="3" s="1"/>
  <c r="D22" i="3"/>
  <c r="E23" i="3"/>
  <c r="F23" i="3" s="1"/>
  <c r="D23" i="3"/>
  <c r="E18" i="3"/>
  <c r="F18" i="3" s="1"/>
  <c r="D18" i="3"/>
  <c r="E25" i="3"/>
  <c r="F25" i="3" s="1"/>
  <c r="D25" i="3"/>
  <c r="C21" i="5"/>
  <c r="Q19" i="5"/>
  <c r="C19" i="5"/>
  <c r="B20" i="5" l="1"/>
  <c r="E20" i="5" s="1"/>
  <c r="F20" i="5" s="1"/>
  <c r="C22" i="5"/>
  <c r="Q18" i="5"/>
  <c r="C18" i="5"/>
  <c r="C20" i="5"/>
  <c r="B21" i="5"/>
  <c r="E21" i="5" s="1"/>
  <c r="F21" i="5" s="1"/>
  <c r="Q22" i="5"/>
  <c r="B19" i="5"/>
  <c r="E19" i="5" s="1"/>
  <c r="F19" i="5" s="1"/>
  <c r="Q20" i="5"/>
  <c r="C17" i="5"/>
  <c r="D19" i="5" l="1"/>
  <c r="D21" i="5"/>
  <c r="D20" i="5"/>
  <c r="Q21" i="5"/>
  <c r="B18" i="5"/>
  <c r="E18" i="5" s="1"/>
  <c r="F18" i="5" s="1"/>
  <c r="B22" i="5"/>
  <c r="E22" i="5" s="1"/>
  <c r="F22" i="5" s="1"/>
  <c r="Q17" i="5"/>
  <c r="D18" i="5" l="1"/>
  <c r="D22" i="5"/>
</calcChain>
</file>

<file path=xl/sharedStrings.xml><?xml version="1.0" encoding="utf-8"?>
<sst xmlns="http://schemas.openxmlformats.org/spreadsheetml/2006/main" count="100" uniqueCount="50">
  <si>
    <t>TYP</t>
  </si>
  <si>
    <t>spotřeba [mA]</t>
  </si>
  <si>
    <t>Kusů</t>
  </si>
  <si>
    <t>Vhodné zdroje</t>
  </si>
  <si>
    <t>EF-300-CTC</t>
  </si>
  <si>
    <t>SH-540-CTC</t>
  </si>
  <si>
    <t>EXT-400-CTC</t>
  </si>
  <si>
    <t>EXT-750-CTC</t>
  </si>
  <si>
    <t>GTR063A17</t>
  </si>
  <si>
    <t>GTR048A17</t>
  </si>
  <si>
    <t>GTR048A010-325</t>
  </si>
  <si>
    <t>THM445-EX</t>
  </si>
  <si>
    <t>EN 54C-2A7</t>
  </si>
  <si>
    <t>EN 54C-2A17</t>
  </si>
  <si>
    <t>EN 54C-3A7</t>
  </si>
  <si>
    <t>EN 54C-3A17</t>
  </si>
  <si>
    <t>EN 54C-3A28</t>
  </si>
  <si>
    <t>EN 54C-5A7</t>
  </si>
  <si>
    <t>EN 54C-5A17</t>
  </si>
  <si>
    <t>EN 54C-5A28</t>
  </si>
  <si>
    <t>EN 54C-5A40</t>
  </si>
  <si>
    <t>EN 54C-5A65</t>
  </si>
  <si>
    <t>EN 54C-10A17</t>
  </si>
  <si>
    <t>EN 54C-10A28</t>
  </si>
  <si>
    <t>EN 54C-10A40</t>
  </si>
  <si>
    <t>EN 54C-10A65</t>
  </si>
  <si>
    <t>AWZG2-24V2A-B</t>
  </si>
  <si>
    <t>AWZG2-24V3A-C</t>
  </si>
  <si>
    <t>Typ</t>
  </si>
  <si>
    <t>mA</t>
  </si>
  <si>
    <t>AWZG2-12V2A-B</t>
  </si>
  <si>
    <t>AWZG2-12V3A-C</t>
  </si>
  <si>
    <t>AWZG2-12V5A-C</t>
  </si>
  <si>
    <t>AWZG2-12V5A-D</t>
  </si>
  <si>
    <t>HPSB-20A12V-E</t>
  </si>
  <si>
    <t>HPSB-10A12V-D</t>
  </si>
  <si>
    <t>Aku</t>
  </si>
  <si>
    <t>Celkem [mA]:</t>
  </si>
  <si>
    <t>max. I</t>
  </si>
  <si>
    <t>Dnů</t>
  </si>
  <si>
    <t>Autonomie</t>
  </si>
  <si>
    <t>Do žlutých polí zadejte počet použitých zařízení:</t>
  </si>
  <si>
    <t>max.I</t>
  </si>
  <si>
    <t>A</t>
  </si>
  <si>
    <t>Ah</t>
  </si>
  <si>
    <t>Celkem[mA]:</t>
  </si>
  <si>
    <t>Hodin</t>
  </si>
  <si>
    <t>Hd</t>
  </si>
  <si>
    <t>EF-550-CTC</t>
  </si>
  <si>
    <t>EF-30035-ENCCTC-CA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</si>
</sst>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" fillId="7" borderId="2" xfId="0" applyFont="1" applyFill="1" applyBorder="1" applyAlignment="1" applyProtection="1">
      <alignment horizontal="center"/>
      <protection locked="0"/>
    </xf>
    <xf numFmtId="0" fontId="1" fillId="7" borderId="10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0" fontId="1" fillId="5" borderId="8" xfId="0" applyFont="1" applyFill="1" applyBorder="1" applyAlignment="1" applyProtection="1">
      <alignment horizontal="center"/>
      <protection hidden="1"/>
    </xf>
    <xf numFmtId="0" fontId="1" fillId="9" borderId="9" xfId="0" applyFont="1" applyFill="1" applyBorder="1" applyProtection="1"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" fillId="9" borderId="3" xfId="0" applyFont="1" applyFill="1" applyBorder="1" applyProtection="1">
      <protection hidden="1"/>
    </xf>
    <xf numFmtId="0" fontId="1" fillId="6" borderId="4" xfId="0" applyFont="1" applyFill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right"/>
      <protection hidden="1"/>
    </xf>
    <xf numFmtId="3" fontId="1" fillId="0" borderId="8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" fillId="11" borderId="3" xfId="0" applyFont="1" applyFill="1" applyBorder="1" applyAlignment="1" applyProtection="1">
      <alignment horizontal="center"/>
      <protection hidden="1"/>
    </xf>
    <xf numFmtId="0" fontId="1" fillId="11" borderId="4" xfId="0" applyFont="1" applyFill="1" applyBorder="1" applyAlignment="1" applyProtection="1">
      <alignment horizontal="center"/>
      <protection hidden="1"/>
    </xf>
    <xf numFmtId="0" fontId="6" fillId="11" borderId="4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6" fillId="10" borderId="5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4" fontId="5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" fillId="8" borderId="1" xfId="0" applyFont="1" applyFill="1" applyBorder="1" applyProtection="1">
      <protection hidden="1"/>
    </xf>
    <xf numFmtId="0" fontId="1" fillId="4" borderId="11" xfId="0" applyFont="1" applyFill="1" applyBorder="1" applyAlignment="1" applyProtection="1">
      <alignment horizontal="center"/>
      <protection hidden="1"/>
    </xf>
    <xf numFmtId="2" fontId="11" fillId="0" borderId="0" xfId="0" applyNumberFormat="1" applyFont="1" applyAlignment="1" applyProtection="1">
      <alignment horizontal="center"/>
      <protection hidden="1"/>
    </xf>
    <xf numFmtId="0" fontId="1" fillId="8" borderId="9" xfId="0" applyFont="1" applyFill="1" applyBorder="1" applyProtection="1">
      <protection hidden="1"/>
    </xf>
    <xf numFmtId="0" fontId="1" fillId="4" borderId="0" xfId="0" applyFont="1" applyFill="1" applyAlignment="1" applyProtection="1">
      <alignment horizontal="center"/>
      <protection hidden="1"/>
    </xf>
    <xf numFmtId="3" fontId="11" fillId="0" borderId="0" xfId="0" applyNumberFormat="1" applyFont="1" applyAlignment="1" applyProtection="1">
      <alignment horizontal="center"/>
      <protection hidden="1"/>
    </xf>
    <xf numFmtId="0" fontId="1" fillId="8" borderId="3" xfId="0" applyFont="1" applyFill="1" applyBorder="1" applyProtection="1"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3" fontId="6" fillId="0" borderId="8" xfId="0" applyNumberFormat="1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11" borderId="3" xfId="0" applyFont="1" applyFill="1" applyBorder="1" applyProtection="1"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4" fontId="3" fillId="0" borderId="0" xfId="0" applyNumberFormat="1" applyFont="1" applyProtection="1">
      <protection hidden="1"/>
    </xf>
    <xf numFmtId="2" fontId="7" fillId="0" borderId="0" xfId="0" applyNumberFormat="1" applyFont="1" applyAlignment="1" applyProtection="1">
      <alignment horizontal="center"/>
      <protection hidden="1"/>
    </xf>
    <xf numFmtId="3" fontId="8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11" borderId="3" xfId="0" applyFont="1" applyFill="1" applyBorder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" fillId="7" borderId="6" xfId="0" applyFont="1" applyFill="1" applyBorder="1" applyAlignment="1" applyProtection="1">
      <alignment horizontal="center"/>
      <protection hidden="1"/>
    </xf>
    <xf numFmtId="0" fontId="1" fillId="7" borderId="7" xfId="0" applyFont="1" applyFill="1" applyBorder="1" applyAlignment="1" applyProtection="1">
      <alignment horizontal="center"/>
      <protection hidden="1"/>
    </xf>
    <xf numFmtId="0" fontId="1" fillId="7" borderId="8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6" fillId="13" borderId="11" xfId="0" applyFont="1" applyFill="1" applyBorder="1" applyAlignment="1" applyProtection="1">
      <alignment horizontal="center"/>
      <protection hidden="1"/>
    </xf>
    <xf numFmtId="0" fontId="6" fillId="13" borderId="2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12" borderId="11" xfId="0" applyFont="1" applyFill="1" applyBorder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13" borderId="11" xfId="0" applyFont="1" applyFill="1" applyBorder="1" applyAlignment="1" applyProtection="1">
      <alignment horizontal="center"/>
      <protection hidden="1"/>
    </xf>
    <xf numFmtId="0" fontId="1" fillId="13" borderId="2" xfId="0" applyFont="1" applyFill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15">
    <dxf>
      <font>
        <b/>
        <i val="0"/>
        <color rgb="FF00B050"/>
      </font>
      <border>
        <right style="thin">
          <color auto="1"/>
        </right>
        <bottom style="thin">
          <color auto="1"/>
        </bottom>
      </border>
    </dxf>
    <dxf>
      <font>
        <b/>
        <i val="0"/>
        <color rgb="FF0070C0"/>
      </font>
      <border>
        <bottom style="thin">
          <color auto="1"/>
        </bottom>
      </border>
    </dxf>
    <dxf>
      <font>
        <b/>
        <i val="0"/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left style="thin">
          <color auto="1"/>
        </left>
        <bottom style="thin">
          <color auto="1"/>
        </bottom>
      </border>
    </dxf>
    <dxf>
      <font>
        <b/>
        <i val="0"/>
        <strike val="0"/>
        <color rgb="FF00B050"/>
      </font>
      <border>
        <right style="thin">
          <color auto="1"/>
        </right>
        <bottom style="thin">
          <color auto="1"/>
        </bottom>
      </border>
    </dxf>
    <dxf>
      <font>
        <b/>
        <i val="0"/>
        <strike val="0"/>
        <color rgb="FF0070C0"/>
      </font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left style="thin">
          <color auto="1"/>
        </left>
        <bottom style="thin">
          <color auto="1"/>
        </bottom>
      </border>
    </dxf>
    <dxf>
      <font>
        <b/>
        <i val="0"/>
        <color rgb="FF00B050"/>
      </font>
      <border>
        <right style="thin">
          <color auto="1"/>
        </right>
        <bottom style="thin">
          <color auto="1"/>
        </bottom>
        <vertical/>
        <horizontal/>
      </border>
    </dxf>
    <dxf>
      <font>
        <b/>
        <i val="0"/>
        <color rgb="FF0070C0"/>
      </font>
      <border>
        <bottom style="thin">
          <color auto="1"/>
        </bottom>
      </border>
    </dxf>
    <dxf>
      <font>
        <b/>
        <i val="0"/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left style="thin">
          <color auto="1"/>
        </left>
        <bottom style="thin">
          <color auto="1"/>
        </bottom>
      </border>
    </dxf>
  </dxfs>
  <tableStyles count="1" defaultTableStyle="TableStyleMedium2" defaultPivotStyle="PivotStyleLight16">
    <tableStyle name="Invisible" pivot="0" table="0" count="0" xr9:uid="{0A0CF8EC-F24A-44CC-8E14-7EA8CD577B55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397A-C2B0-46A4-B8BF-D412D1FED0FA}">
  <dimension ref="A1:V36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4.5703125" customWidth="1"/>
    <col min="2" max="2" width="18.85546875" customWidth="1"/>
    <col min="3" max="3" width="13.28515625" customWidth="1"/>
    <col min="4" max="4" width="13.140625" customWidth="1"/>
    <col min="5" max="6" width="8.7109375" customWidth="1"/>
    <col min="7" max="8" width="4.7109375" customWidth="1"/>
    <col min="9" max="9" width="16.7109375" customWidth="1"/>
    <col min="10" max="10" width="9.7109375" customWidth="1"/>
    <col min="11" max="11" width="6.7109375" customWidth="1"/>
    <col min="12" max="12" width="8.7109375" customWidth="1"/>
    <col min="13" max="13" width="6.7109375" customWidth="1"/>
    <col min="14" max="14" width="15.85546875" customWidth="1"/>
    <col min="15" max="15" width="7.42578125" customWidth="1"/>
    <col min="16" max="16" width="14.5703125" customWidth="1"/>
    <col min="17" max="17" width="14.28515625" customWidth="1"/>
    <col min="18" max="22" width="14.5703125" customWidth="1"/>
  </cols>
  <sheetData>
    <row r="1" spans="1:22" ht="15.75" thickBot="1" x14ac:dyDescent="0.3">
      <c r="A1" s="9"/>
      <c r="B1" s="9"/>
      <c r="C1" s="9"/>
      <c r="D1" s="9"/>
      <c r="E1" s="9"/>
      <c r="F1" s="9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2" ht="15.75" thickBot="1" x14ac:dyDescent="0.3">
      <c r="A2" s="9"/>
      <c r="B2" s="69" t="s">
        <v>41</v>
      </c>
      <c r="C2" s="70"/>
      <c r="D2" s="71"/>
      <c r="E2" s="10"/>
      <c r="F2" s="10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2" ht="15.75" thickBot="1" x14ac:dyDescent="0.3">
      <c r="A3" s="9"/>
      <c r="B3" s="9"/>
      <c r="C3" s="9"/>
      <c r="D3" s="9"/>
      <c r="E3" s="9"/>
      <c r="F3" s="9"/>
      <c r="G3" s="16"/>
      <c r="H3" s="16"/>
      <c r="I3" s="16"/>
      <c r="J3" s="16"/>
      <c r="K3" s="16"/>
      <c r="L3" s="16"/>
      <c r="M3" s="67"/>
      <c r="N3" s="68"/>
      <c r="O3" s="68"/>
      <c r="P3" s="68"/>
      <c r="Q3" s="68"/>
    </row>
    <row r="4" spans="1:22" ht="15.75" thickBot="1" x14ac:dyDescent="0.3">
      <c r="A4" s="9"/>
      <c r="B4" s="11" t="s">
        <v>0</v>
      </c>
      <c r="C4" s="12" t="s">
        <v>1</v>
      </c>
      <c r="D4" s="13" t="s">
        <v>2</v>
      </c>
      <c r="E4" s="10"/>
      <c r="F4" s="10"/>
      <c r="G4" s="16"/>
      <c r="H4" s="16"/>
      <c r="I4" s="16"/>
      <c r="J4" s="36"/>
      <c r="K4" s="36"/>
      <c r="L4" s="36"/>
      <c r="M4" s="36"/>
      <c r="N4" s="36"/>
      <c r="O4" s="36"/>
      <c r="P4" s="36"/>
      <c r="Q4" s="36"/>
    </row>
    <row r="5" spans="1:22" x14ac:dyDescent="0.25">
      <c r="A5" s="9"/>
      <c r="B5" s="14" t="s">
        <v>8</v>
      </c>
      <c r="C5" s="15">
        <v>88</v>
      </c>
      <c r="D5" s="7">
        <v>1</v>
      </c>
      <c r="E5" s="10"/>
      <c r="F5" s="10"/>
      <c r="G5" s="16"/>
      <c r="H5" s="16"/>
      <c r="I5" s="16">
        <f>C5*D5</f>
        <v>88</v>
      </c>
      <c r="J5" s="35"/>
      <c r="K5" s="35"/>
      <c r="L5" s="35"/>
      <c r="M5" s="37"/>
      <c r="N5" s="37"/>
      <c r="O5" s="37"/>
      <c r="P5" s="37"/>
      <c r="Q5" s="37"/>
    </row>
    <row r="6" spans="1:22" x14ac:dyDescent="0.25">
      <c r="A6" s="9"/>
      <c r="B6" s="14" t="s">
        <v>9</v>
      </c>
      <c r="C6" s="15">
        <v>67</v>
      </c>
      <c r="D6" s="7">
        <v>0</v>
      </c>
      <c r="E6" s="10"/>
      <c r="F6" s="10"/>
      <c r="G6" s="16"/>
      <c r="H6" s="16"/>
      <c r="I6" s="16">
        <f t="shared" ref="I6:I8" si="0">C6*D6</f>
        <v>0</v>
      </c>
      <c r="J6" s="35"/>
      <c r="K6" s="35"/>
      <c r="L6" s="35"/>
      <c r="M6" s="38"/>
      <c r="N6" s="38"/>
      <c r="O6" s="38"/>
      <c r="P6" s="38"/>
      <c r="Q6" s="38"/>
    </row>
    <row r="7" spans="1:22" x14ac:dyDescent="0.25">
      <c r="A7" s="9"/>
      <c r="B7" s="14" t="s">
        <v>10</v>
      </c>
      <c r="C7" s="15">
        <v>67</v>
      </c>
      <c r="D7" s="7">
        <v>0</v>
      </c>
      <c r="E7" s="10"/>
      <c r="F7" s="10"/>
      <c r="G7" s="16"/>
      <c r="H7" s="16"/>
      <c r="I7" s="16">
        <f t="shared" si="0"/>
        <v>0</v>
      </c>
      <c r="J7" s="36"/>
      <c r="K7" s="36"/>
      <c r="L7" s="36"/>
      <c r="M7" s="36"/>
      <c r="N7" s="36"/>
      <c r="O7" s="36"/>
      <c r="P7" s="36"/>
      <c r="Q7" s="36"/>
    </row>
    <row r="8" spans="1:22" ht="15.75" thickBot="1" x14ac:dyDescent="0.3">
      <c r="A8" s="9"/>
      <c r="B8" s="17" t="s">
        <v>11</v>
      </c>
      <c r="C8" s="18">
        <v>125</v>
      </c>
      <c r="D8" s="8">
        <v>0</v>
      </c>
      <c r="E8" s="10"/>
      <c r="F8" s="10"/>
      <c r="G8" s="16"/>
      <c r="H8" s="16"/>
      <c r="I8" s="16">
        <f t="shared" si="0"/>
        <v>0</v>
      </c>
      <c r="J8" s="35"/>
      <c r="K8" s="35"/>
      <c r="L8" s="35"/>
      <c r="M8" s="35"/>
      <c r="N8" s="35"/>
      <c r="O8" s="35"/>
      <c r="P8" s="35"/>
      <c r="Q8" s="35"/>
    </row>
    <row r="9" spans="1:22" ht="15.75" thickBot="1" x14ac:dyDescent="0.3">
      <c r="A9" s="9"/>
      <c r="B9" s="9"/>
      <c r="C9" s="9"/>
      <c r="D9" s="9"/>
      <c r="E9" s="9"/>
      <c r="F9" s="9"/>
      <c r="G9" s="16"/>
      <c r="H9" s="16"/>
      <c r="I9" s="16">
        <v>0.1</v>
      </c>
      <c r="J9" s="36"/>
      <c r="K9" s="36"/>
      <c r="L9" s="36"/>
      <c r="M9" s="36"/>
      <c r="N9" s="36"/>
      <c r="O9" s="36"/>
      <c r="P9" s="36"/>
      <c r="Q9" s="36"/>
    </row>
    <row r="10" spans="1:22" ht="15.75" thickBot="1" x14ac:dyDescent="0.3">
      <c r="A10" s="9"/>
      <c r="B10" s="9"/>
      <c r="C10" s="19" t="s">
        <v>45</v>
      </c>
      <c r="D10" s="20">
        <f>SUM(I5:I9)</f>
        <v>88.1</v>
      </c>
      <c r="E10" s="21"/>
      <c r="F10" s="21"/>
      <c r="G10" s="16"/>
      <c r="H10" s="16"/>
      <c r="I10" s="16"/>
      <c r="J10" s="36"/>
      <c r="K10" s="36"/>
      <c r="L10" s="36"/>
      <c r="M10" s="36"/>
      <c r="N10" s="36"/>
      <c r="O10" s="36"/>
      <c r="P10" s="36"/>
      <c r="Q10" s="36"/>
    </row>
    <row r="11" spans="1:22" x14ac:dyDescent="0.25">
      <c r="A11" s="22"/>
      <c r="B11" s="9"/>
      <c r="C11" s="9"/>
      <c r="D11" s="9"/>
      <c r="E11" s="9"/>
      <c r="F11" s="9"/>
      <c r="G11" s="16"/>
      <c r="H11" s="16"/>
      <c r="I11" s="16"/>
      <c r="J11" s="36"/>
      <c r="K11" s="36"/>
      <c r="L11" s="36"/>
      <c r="M11" s="36"/>
      <c r="N11" s="36"/>
      <c r="O11" s="36"/>
      <c r="P11" s="36"/>
      <c r="Q11" s="36"/>
    </row>
    <row r="12" spans="1:22" ht="15.75" thickBot="1" x14ac:dyDescent="0.3">
      <c r="A12" s="22"/>
      <c r="B12" s="9"/>
      <c r="C12" s="9"/>
      <c r="D12" s="9"/>
      <c r="E12" s="9"/>
      <c r="F12" s="9"/>
      <c r="G12" s="16"/>
      <c r="H12" s="16"/>
      <c r="I12" s="16"/>
      <c r="J12" s="36"/>
      <c r="K12" s="36"/>
      <c r="L12" s="36"/>
      <c r="M12" s="36"/>
      <c r="N12" s="36"/>
      <c r="O12" s="36"/>
      <c r="P12" s="36"/>
      <c r="Q12" s="36"/>
    </row>
    <row r="13" spans="1:22" x14ac:dyDescent="0.25">
      <c r="A13" s="22"/>
      <c r="B13" s="72" t="s">
        <v>3</v>
      </c>
      <c r="C13" s="73"/>
      <c r="D13" s="73"/>
      <c r="E13" s="74" t="s">
        <v>40</v>
      </c>
      <c r="F13" s="7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5"/>
      <c r="S13" s="5"/>
      <c r="T13" s="5"/>
      <c r="U13" s="5"/>
      <c r="V13" s="3"/>
    </row>
    <row r="14" spans="1:22" ht="15.75" thickBot="1" x14ac:dyDescent="0.3">
      <c r="A14" s="22"/>
      <c r="B14" s="24" t="s">
        <v>28</v>
      </c>
      <c r="C14" s="25" t="s">
        <v>38</v>
      </c>
      <c r="D14" s="26" t="s">
        <v>36</v>
      </c>
      <c r="E14" s="27" t="s">
        <v>46</v>
      </c>
      <c r="F14" s="28" t="s">
        <v>39</v>
      </c>
      <c r="G14" s="16"/>
      <c r="H14" s="16"/>
      <c r="I14" s="39" t="s">
        <v>28</v>
      </c>
      <c r="J14" s="39" t="s">
        <v>29</v>
      </c>
      <c r="K14" s="39" t="s">
        <v>44</v>
      </c>
      <c r="L14" s="39" t="s">
        <v>47</v>
      </c>
      <c r="M14" s="16"/>
      <c r="N14" s="16"/>
      <c r="O14" s="16"/>
      <c r="P14" s="16"/>
      <c r="Q14" s="16"/>
      <c r="R14" s="5"/>
      <c r="S14" s="5"/>
      <c r="T14" s="5"/>
      <c r="U14" s="5"/>
    </row>
    <row r="15" spans="1:22" x14ac:dyDescent="0.25">
      <c r="A15" s="16">
        <v>1</v>
      </c>
      <c r="B15" s="30" t="str">
        <f t="shared" ref="B15:B30" si="1">VLOOKUP($A15,$M$15:$O$30,2,FALSE)</f>
        <v>EN 54C-2A7</v>
      </c>
      <c r="C15" s="31" t="str">
        <f t="shared" ref="C15:C30" si="2">_xlfn.CONCAT((VLOOKUP($A15,$M$15:$O$30,3,FALSE))/1000," A")</f>
        <v>1,6 A</v>
      </c>
      <c r="D15" s="31" t="str">
        <f>_xlfn.CONCAT((VLOOKUP($B15,$I$15:$L$30,3,FALSE))," ",$K$14)</f>
        <v>7 Ah</v>
      </c>
      <c r="E15" s="33">
        <f>VLOOKUP($B15,$I$15:$L$30,4,FALSE)</f>
        <v>63.564131668558467</v>
      </c>
      <c r="F15" s="34">
        <f>E15/24</f>
        <v>2.648505486189936</v>
      </c>
      <c r="G15" s="16">
        <f t="shared" ref="G15:G30" si="3">IF($D$10&lt;$J15,1,0)</f>
        <v>1</v>
      </c>
      <c r="H15" s="16">
        <f>IF(G15=0,0,COUNTIF($G$14:G14,"&gt;0")+1)</f>
        <v>1</v>
      </c>
      <c r="I15" s="16" t="s">
        <v>12</v>
      </c>
      <c r="J15" s="39">
        <v>1600</v>
      </c>
      <c r="K15" s="39">
        <v>7</v>
      </c>
      <c r="L15" s="40">
        <f>$K15*0.8/$D$10*1000</f>
        <v>63.564131668558467</v>
      </c>
      <c r="M15" s="16">
        <v>1</v>
      </c>
      <c r="N15" s="16" t="str">
        <f>VLOOKUP($M15,$H$15:$J$30,2,FALSE)</f>
        <v>EN 54C-2A7</v>
      </c>
      <c r="O15" s="16">
        <f>VLOOKUP($M15,$H$15:$J$30,3,FALSE)</f>
        <v>1600</v>
      </c>
      <c r="P15" s="16" t="b">
        <f>ISERROR(N15)</f>
        <v>0</v>
      </c>
      <c r="Q15" s="16"/>
      <c r="R15" s="5"/>
      <c r="S15" s="5"/>
      <c r="T15" s="5"/>
      <c r="U15" s="5"/>
    </row>
    <row r="16" spans="1:22" x14ac:dyDescent="0.25">
      <c r="A16" s="16">
        <v>2</v>
      </c>
      <c r="B16" s="30" t="str">
        <f t="shared" si="1"/>
        <v>EN 54C-2A17</v>
      </c>
      <c r="C16" s="31" t="str">
        <f t="shared" si="2"/>
        <v>1,2 A</v>
      </c>
      <c r="D16" s="31" t="str">
        <f t="shared" ref="D16:D30" si="4">_xlfn.CONCAT((VLOOKUP($B16,$I$15:$L$30,3,FALSE))," ",$K$14)</f>
        <v>17 Ah</v>
      </c>
      <c r="E16" s="33">
        <f t="shared" ref="E16:E30" si="5">VLOOKUP($B16,$I$15:$L$30,4,FALSE)</f>
        <v>154.37003405221341</v>
      </c>
      <c r="F16" s="34">
        <f t="shared" ref="F16:F30" si="6">E16/24</f>
        <v>6.4320847521755589</v>
      </c>
      <c r="G16" s="16">
        <f t="shared" si="3"/>
        <v>1</v>
      </c>
      <c r="H16" s="16">
        <f>IF(G16=0,0,COUNTIF($G$14:G15,"&gt;0")+1)</f>
        <v>2</v>
      </c>
      <c r="I16" s="16" t="s">
        <v>13</v>
      </c>
      <c r="J16" s="39">
        <v>1200</v>
      </c>
      <c r="K16" s="39">
        <v>17</v>
      </c>
      <c r="L16" s="40">
        <f t="shared" ref="L16:L30" si="7">$K16*0.8/$D$10*1000</f>
        <v>154.37003405221341</v>
      </c>
      <c r="M16" s="16">
        <v>2</v>
      </c>
      <c r="N16" s="16" t="str">
        <f>VLOOKUP($M16,$H$15:$J$30,2,FALSE)</f>
        <v>EN 54C-2A17</v>
      </c>
      <c r="O16" s="16">
        <f t="shared" ref="O16:O30" si="8">VLOOKUP($M16,$H$15:$J$30,3,FALSE)</f>
        <v>1200</v>
      </c>
      <c r="P16" s="16" t="b">
        <f t="shared" ref="P16:P30" si="9">ISERROR(N16)</f>
        <v>0</v>
      </c>
      <c r="Q16" s="16"/>
      <c r="R16" s="5"/>
      <c r="S16" s="5"/>
      <c r="T16" s="5"/>
      <c r="U16" s="5"/>
    </row>
    <row r="17" spans="1:21" x14ac:dyDescent="0.25">
      <c r="A17" s="16">
        <v>3</v>
      </c>
      <c r="B17" s="30" t="str">
        <f t="shared" si="1"/>
        <v>EN 54C-3A7</v>
      </c>
      <c r="C17" s="31" t="str">
        <f t="shared" si="2"/>
        <v>2,2 A</v>
      </c>
      <c r="D17" s="31" t="str">
        <f t="shared" si="4"/>
        <v>7 Ah</v>
      </c>
      <c r="E17" s="33">
        <f t="shared" si="5"/>
        <v>63.564131668558467</v>
      </c>
      <c r="F17" s="34">
        <f t="shared" si="6"/>
        <v>2.648505486189936</v>
      </c>
      <c r="G17" s="16">
        <f t="shared" si="3"/>
        <v>1</v>
      </c>
      <c r="H17" s="16">
        <f>IF(G17=0,0,COUNTIF($G$14:G16,"&gt;0")+1)</f>
        <v>3</v>
      </c>
      <c r="I17" s="16" t="s">
        <v>14</v>
      </c>
      <c r="J17" s="39">
        <v>2200</v>
      </c>
      <c r="K17" s="39">
        <v>7</v>
      </c>
      <c r="L17" s="40">
        <f t="shared" si="7"/>
        <v>63.564131668558467</v>
      </c>
      <c r="M17" s="16">
        <v>3</v>
      </c>
      <c r="N17" s="16" t="str">
        <f t="shared" ref="N17:N30" si="10">VLOOKUP($M17,$H$15:$J$30,2,FALSE)</f>
        <v>EN 54C-3A7</v>
      </c>
      <c r="O17" s="16">
        <f t="shared" si="8"/>
        <v>2200</v>
      </c>
      <c r="P17" s="16" t="b">
        <f t="shared" si="9"/>
        <v>0</v>
      </c>
      <c r="Q17" s="16"/>
      <c r="R17" s="5"/>
      <c r="S17" s="5"/>
      <c r="T17" s="5"/>
      <c r="U17" s="5"/>
    </row>
    <row r="18" spans="1:21" x14ac:dyDescent="0.25">
      <c r="A18" s="16">
        <v>4</v>
      </c>
      <c r="B18" s="30" t="str">
        <f t="shared" si="1"/>
        <v>EN 54C-3A17</v>
      </c>
      <c r="C18" s="31" t="str">
        <f t="shared" si="2"/>
        <v>2,6 A</v>
      </c>
      <c r="D18" s="31" t="str">
        <f t="shared" si="4"/>
        <v>17 Ah</v>
      </c>
      <c r="E18" s="33">
        <f t="shared" si="5"/>
        <v>154.37003405221341</v>
      </c>
      <c r="F18" s="34">
        <f t="shared" si="6"/>
        <v>6.4320847521755589</v>
      </c>
      <c r="G18" s="16">
        <f t="shared" si="3"/>
        <v>1</v>
      </c>
      <c r="H18" s="16">
        <f>IF(G18=0,0,COUNTIF($G$14:G17,"&gt;0")+1)</f>
        <v>4</v>
      </c>
      <c r="I18" s="16" t="s">
        <v>15</v>
      </c>
      <c r="J18" s="39">
        <v>2600</v>
      </c>
      <c r="K18" s="39">
        <v>17</v>
      </c>
      <c r="L18" s="40">
        <f t="shared" si="7"/>
        <v>154.37003405221341</v>
      </c>
      <c r="M18" s="16">
        <v>4</v>
      </c>
      <c r="N18" s="16" t="str">
        <f t="shared" si="10"/>
        <v>EN 54C-3A17</v>
      </c>
      <c r="O18" s="16">
        <f t="shared" si="8"/>
        <v>2600</v>
      </c>
      <c r="P18" s="16" t="b">
        <f t="shared" si="9"/>
        <v>0</v>
      </c>
      <c r="Q18" s="16"/>
      <c r="R18" s="5"/>
      <c r="S18" s="5"/>
      <c r="T18" s="5"/>
      <c r="U18" s="5"/>
    </row>
    <row r="19" spans="1:21" x14ac:dyDescent="0.25">
      <c r="A19" s="16">
        <v>5</v>
      </c>
      <c r="B19" s="30" t="str">
        <f t="shared" si="1"/>
        <v>EN 54C-3A28</v>
      </c>
      <c r="C19" s="31" t="str">
        <f t="shared" si="2"/>
        <v>2,2 A</v>
      </c>
      <c r="D19" s="31" t="str">
        <f t="shared" si="4"/>
        <v>24 Ah</v>
      </c>
      <c r="E19" s="33">
        <f t="shared" si="5"/>
        <v>217.93416572077189</v>
      </c>
      <c r="F19" s="34">
        <f t="shared" si="6"/>
        <v>9.0805902383654953</v>
      </c>
      <c r="G19" s="16">
        <f t="shared" si="3"/>
        <v>1</v>
      </c>
      <c r="H19" s="16">
        <f>IF(G19=0,0,COUNTIF($G$14:G18,"&gt;0")+1)</f>
        <v>5</v>
      </c>
      <c r="I19" s="16" t="s">
        <v>16</v>
      </c>
      <c r="J19" s="39">
        <v>2200</v>
      </c>
      <c r="K19" s="39">
        <v>24</v>
      </c>
      <c r="L19" s="40">
        <f t="shared" si="7"/>
        <v>217.93416572077189</v>
      </c>
      <c r="M19" s="16">
        <v>5</v>
      </c>
      <c r="N19" s="16" t="str">
        <f t="shared" si="10"/>
        <v>EN 54C-3A28</v>
      </c>
      <c r="O19" s="16">
        <f t="shared" si="8"/>
        <v>2200</v>
      </c>
      <c r="P19" s="16" t="b">
        <f t="shared" si="9"/>
        <v>0</v>
      </c>
      <c r="Q19" s="16"/>
      <c r="R19" s="5"/>
      <c r="S19" s="5"/>
      <c r="T19" s="5"/>
      <c r="U19" s="5"/>
    </row>
    <row r="20" spans="1:21" x14ac:dyDescent="0.25">
      <c r="A20" s="16">
        <v>6</v>
      </c>
      <c r="B20" s="30" t="str">
        <f t="shared" si="1"/>
        <v>EN 54C-5A7</v>
      </c>
      <c r="C20" s="31" t="str">
        <f t="shared" si="2"/>
        <v>4,6 A</v>
      </c>
      <c r="D20" s="31" t="str">
        <f t="shared" si="4"/>
        <v>7 Ah</v>
      </c>
      <c r="E20" s="33">
        <f t="shared" si="5"/>
        <v>63.564131668558467</v>
      </c>
      <c r="F20" s="34">
        <f t="shared" si="6"/>
        <v>2.648505486189936</v>
      </c>
      <c r="G20" s="16">
        <f t="shared" si="3"/>
        <v>1</v>
      </c>
      <c r="H20" s="16">
        <f>IF(G20=0,0,COUNTIF($G$14:G19,"&gt;0")+1)</f>
        <v>6</v>
      </c>
      <c r="I20" s="16" t="s">
        <v>17</v>
      </c>
      <c r="J20" s="39">
        <v>4600</v>
      </c>
      <c r="K20" s="39">
        <v>7</v>
      </c>
      <c r="L20" s="40">
        <f t="shared" si="7"/>
        <v>63.564131668558467</v>
      </c>
      <c r="M20" s="16">
        <v>6</v>
      </c>
      <c r="N20" s="16" t="str">
        <f t="shared" si="10"/>
        <v>EN 54C-5A7</v>
      </c>
      <c r="O20" s="16">
        <f t="shared" si="8"/>
        <v>4600</v>
      </c>
      <c r="P20" s="16" t="b">
        <f t="shared" si="9"/>
        <v>0</v>
      </c>
      <c r="Q20" s="16"/>
      <c r="R20" s="5"/>
      <c r="S20" s="5"/>
      <c r="T20" s="5"/>
      <c r="U20" s="5"/>
    </row>
    <row r="21" spans="1:21" x14ac:dyDescent="0.25">
      <c r="A21" s="16">
        <v>7</v>
      </c>
      <c r="B21" s="30" t="str">
        <f t="shared" si="1"/>
        <v>EN 54C-5A17</v>
      </c>
      <c r="C21" s="31" t="str">
        <f t="shared" si="2"/>
        <v>4,2 A</v>
      </c>
      <c r="D21" s="31" t="str">
        <f t="shared" si="4"/>
        <v>17 Ah</v>
      </c>
      <c r="E21" s="33">
        <f t="shared" si="5"/>
        <v>154.37003405221341</v>
      </c>
      <c r="F21" s="34">
        <f t="shared" si="6"/>
        <v>6.4320847521755589</v>
      </c>
      <c r="G21" s="16">
        <f t="shared" si="3"/>
        <v>1</v>
      </c>
      <c r="H21" s="16">
        <f>IF(G21=0,0,COUNTIF($G$14:G20,"&gt;0")+1)</f>
        <v>7</v>
      </c>
      <c r="I21" s="16" t="s">
        <v>18</v>
      </c>
      <c r="J21" s="39">
        <v>4200</v>
      </c>
      <c r="K21" s="39">
        <v>17</v>
      </c>
      <c r="L21" s="40">
        <f t="shared" si="7"/>
        <v>154.37003405221341</v>
      </c>
      <c r="M21" s="16">
        <v>7</v>
      </c>
      <c r="N21" s="16" t="str">
        <f t="shared" si="10"/>
        <v>EN 54C-5A17</v>
      </c>
      <c r="O21" s="16">
        <f t="shared" si="8"/>
        <v>4200</v>
      </c>
      <c r="P21" s="16" t="b">
        <f t="shared" si="9"/>
        <v>0</v>
      </c>
      <c r="Q21" s="16"/>
      <c r="R21" s="5"/>
      <c r="S21" s="5"/>
      <c r="T21" s="5"/>
      <c r="U21" s="5"/>
    </row>
    <row r="22" spans="1:21" x14ac:dyDescent="0.25">
      <c r="A22" s="16">
        <v>8</v>
      </c>
      <c r="B22" s="30" t="str">
        <f t="shared" si="1"/>
        <v>EN 54C-5A28</v>
      </c>
      <c r="C22" s="31" t="str">
        <f t="shared" si="2"/>
        <v>3,8 A</v>
      </c>
      <c r="D22" s="31" t="str">
        <f t="shared" si="4"/>
        <v>24 Ah</v>
      </c>
      <c r="E22" s="33">
        <f t="shared" si="5"/>
        <v>217.93416572077189</v>
      </c>
      <c r="F22" s="34">
        <f t="shared" si="6"/>
        <v>9.0805902383654953</v>
      </c>
      <c r="G22" s="16">
        <f t="shared" si="3"/>
        <v>1</v>
      </c>
      <c r="H22" s="16">
        <f>IF(G22=0,0,COUNTIF($G$14:G21,"&gt;0")+1)</f>
        <v>8</v>
      </c>
      <c r="I22" s="16" t="s">
        <v>19</v>
      </c>
      <c r="J22" s="39">
        <v>3800</v>
      </c>
      <c r="K22" s="39">
        <v>24</v>
      </c>
      <c r="L22" s="40">
        <f t="shared" si="7"/>
        <v>217.93416572077189</v>
      </c>
      <c r="M22" s="16">
        <v>8</v>
      </c>
      <c r="N22" s="16" t="str">
        <f>VLOOKUP($M22,$H$15:$J$30,2,FALSE)</f>
        <v>EN 54C-5A28</v>
      </c>
      <c r="O22" s="16">
        <f t="shared" si="8"/>
        <v>3800</v>
      </c>
      <c r="P22" s="16" t="b">
        <f t="shared" si="9"/>
        <v>0</v>
      </c>
      <c r="Q22" s="16"/>
      <c r="R22" s="5"/>
      <c r="S22" s="5"/>
      <c r="T22" s="5"/>
      <c r="U22" s="5"/>
    </row>
    <row r="23" spans="1:21" x14ac:dyDescent="0.25">
      <c r="A23" s="16">
        <v>9</v>
      </c>
      <c r="B23" s="30" t="str">
        <f t="shared" si="1"/>
        <v>EN 54C-5A40</v>
      </c>
      <c r="C23" s="31" t="str">
        <f t="shared" si="2"/>
        <v>3,2 A</v>
      </c>
      <c r="D23" s="31" t="str">
        <f t="shared" si="4"/>
        <v>40 Ah</v>
      </c>
      <c r="E23" s="33">
        <f t="shared" si="5"/>
        <v>363.22360953461981</v>
      </c>
      <c r="F23" s="34">
        <f t="shared" si="6"/>
        <v>15.134317063942492</v>
      </c>
      <c r="G23" s="16">
        <f t="shared" si="3"/>
        <v>1</v>
      </c>
      <c r="H23" s="16">
        <f>IF(G23=0,0,COUNTIF($G$14:G22,"&gt;0")+1)</f>
        <v>9</v>
      </c>
      <c r="I23" s="16" t="s">
        <v>20</v>
      </c>
      <c r="J23" s="39">
        <v>3200</v>
      </c>
      <c r="K23" s="39">
        <v>40</v>
      </c>
      <c r="L23" s="40">
        <f t="shared" si="7"/>
        <v>363.22360953461981</v>
      </c>
      <c r="M23" s="16">
        <v>9</v>
      </c>
      <c r="N23" s="16" t="str">
        <f t="shared" si="10"/>
        <v>EN 54C-5A40</v>
      </c>
      <c r="O23" s="16">
        <f t="shared" si="8"/>
        <v>3200</v>
      </c>
      <c r="P23" s="16" t="b">
        <f t="shared" si="9"/>
        <v>0</v>
      </c>
      <c r="Q23" s="16"/>
      <c r="R23" s="5"/>
      <c r="S23" s="5"/>
      <c r="T23" s="5"/>
      <c r="U23" s="5"/>
    </row>
    <row r="24" spans="1:21" x14ac:dyDescent="0.25">
      <c r="A24" s="16">
        <v>10</v>
      </c>
      <c r="B24" s="30" t="str">
        <f t="shared" si="1"/>
        <v>EN 54C-5A65</v>
      </c>
      <c r="C24" s="31" t="str">
        <f t="shared" si="2"/>
        <v>2,4 A</v>
      </c>
      <c r="D24" s="31" t="str">
        <f t="shared" si="4"/>
        <v>65 Ah</v>
      </c>
      <c r="E24" s="33">
        <f t="shared" si="5"/>
        <v>590.2383654937571</v>
      </c>
      <c r="F24" s="34">
        <f t="shared" si="6"/>
        <v>24.593265228906546</v>
      </c>
      <c r="G24" s="16">
        <f t="shared" si="3"/>
        <v>1</v>
      </c>
      <c r="H24" s="16">
        <f>IF(G24=0,0,COUNTIF($G$14:G23,"&gt;0")+1)</f>
        <v>10</v>
      </c>
      <c r="I24" s="16" t="s">
        <v>21</v>
      </c>
      <c r="J24" s="39">
        <v>2400</v>
      </c>
      <c r="K24" s="39">
        <v>65</v>
      </c>
      <c r="L24" s="40">
        <f t="shared" si="7"/>
        <v>590.2383654937571</v>
      </c>
      <c r="M24" s="16">
        <v>10</v>
      </c>
      <c r="N24" s="16" t="str">
        <f t="shared" si="10"/>
        <v>EN 54C-5A65</v>
      </c>
      <c r="O24" s="16">
        <f t="shared" si="8"/>
        <v>2400</v>
      </c>
      <c r="P24" s="16" t="b">
        <f t="shared" si="9"/>
        <v>0</v>
      </c>
      <c r="Q24" s="16"/>
      <c r="R24" s="5"/>
      <c r="S24" s="5"/>
      <c r="T24" s="5"/>
      <c r="U24" s="5"/>
    </row>
    <row r="25" spans="1:21" x14ac:dyDescent="0.25">
      <c r="A25" s="16">
        <v>11</v>
      </c>
      <c r="B25" s="30" t="str">
        <f t="shared" si="1"/>
        <v>EN 54C-10A17</v>
      </c>
      <c r="C25" s="31" t="str">
        <f t="shared" si="2"/>
        <v>9,2 A</v>
      </c>
      <c r="D25" s="31" t="str">
        <f t="shared" si="4"/>
        <v>17 Ah</v>
      </c>
      <c r="E25" s="33">
        <f t="shared" si="5"/>
        <v>154.37003405221341</v>
      </c>
      <c r="F25" s="34">
        <f t="shared" si="6"/>
        <v>6.4320847521755589</v>
      </c>
      <c r="G25" s="16">
        <f t="shared" si="3"/>
        <v>1</v>
      </c>
      <c r="H25" s="16">
        <f>IF(G25=0,0,COUNTIF($G$14:G24,"&gt;0")+1)</f>
        <v>11</v>
      </c>
      <c r="I25" s="16" t="s">
        <v>22</v>
      </c>
      <c r="J25" s="39">
        <v>9200</v>
      </c>
      <c r="K25" s="39">
        <v>17</v>
      </c>
      <c r="L25" s="40">
        <f t="shared" si="7"/>
        <v>154.37003405221341</v>
      </c>
      <c r="M25" s="16">
        <v>11</v>
      </c>
      <c r="N25" s="16" t="str">
        <f t="shared" si="10"/>
        <v>EN 54C-10A17</v>
      </c>
      <c r="O25" s="16">
        <f t="shared" si="8"/>
        <v>9200</v>
      </c>
      <c r="P25" s="16" t="b">
        <f t="shared" si="9"/>
        <v>0</v>
      </c>
      <c r="Q25" s="16"/>
      <c r="R25" s="5"/>
      <c r="S25" s="5"/>
      <c r="T25" s="5"/>
      <c r="U25" s="5"/>
    </row>
    <row r="26" spans="1:21" x14ac:dyDescent="0.25">
      <c r="A26" s="16">
        <v>12</v>
      </c>
      <c r="B26" s="30" t="str">
        <f t="shared" si="1"/>
        <v>EN 54C-10A28</v>
      </c>
      <c r="C26" s="31" t="str">
        <f t="shared" si="2"/>
        <v>8,8 A</v>
      </c>
      <c r="D26" s="31" t="str">
        <f t="shared" si="4"/>
        <v>28 Ah</v>
      </c>
      <c r="E26" s="33">
        <f t="shared" si="5"/>
        <v>254.25652667423387</v>
      </c>
      <c r="F26" s="34">
        <f t="shared" si="6"/>
        <v>10.594021944759744</v>
      </c>
      <c r="G26" s="16">
        <f t="shared" si="3"/>
        <v>1</v>
      </c>
      <c r="H26" s="16">
        <f>IF(G26=0,0,COUNTIF($G$14:G25,"&gt;0")+1)</f>
        <v>12</v>
      </c>
      <c r="I26" s="16" t="s">
        <v>23</v>
      </c>
      <c r="J26" s="39">
        <v>8800</v>
      </c>
      <c r="K26" s="39">
        <v>28</v>
      </c>
      <c r="L26" s="40">
        <f t="shared" si="7"/>
        <v>254.25652667423387</v>
      </c>
      <c r="M26" s="16">
        <v>12</v>
      </c>
      <c r="N26" s="16" t="str">
        <f t="shared" si="10"/>
        <v>EN 54C-10A28</v>
      </c>
      <c r="O26" s="16">
        <f t="shared" si="8"/>
        <v>8800</v>
      </c>
      <c r="P26" s="16" t="b">
        <f t="shared" si="9"/>
        <v>0</v>
      </c>
      <c r="Q26" s="16"/>
      <c r="R26" s="5"/>
      <c r="S26" s="5"/>
      <c r="T26" s="5"/>
      <c r="U26" s="5"/>
    </row>
    <row r="27" spans="1:21" x14ac:dyDescent="0.25">
      <c r="A27" s="16">
        <v>13</v>
      </c>
      <c r="B27" s="30" t="str">
        <f t="shared" si="1"/>
        <v>EN 54C-10A40</v>
      </c>
      <c r="C27" s="31" t="str">
        <f t="shared" si="2"/>
        <v>8,2 A</v>
      </c>
      <c r="D27" s="31" t="str">
        <f t="shared" si="4"/>
        <v>40 Ah</v>
      </c>
      <c r="E27" s="33">
        <f t="shared" si="5"/>
        <v>363.22360953461981</v>
      </c>
      <c r="F27" s="34">
        <f t="shared" si="6"/>
        <v>15.134317063942492</v>
      </c>
      <c r="G27" s="16">
        <f t="shared" si="3"/>
        <v>1</v>
      </c>
      <c r="H27" s="16">
        <f>IF(G27=0,0,COUNTIF($G$14:G26,"&gt;0")+1)</f>
        <v>13</v>
      </c>
      <c r="I27" s="16" t="s">
        <v>24</v>
      </c>
      <c r="J27" s="39">
        <v>8200</v>
      </c>
      <c r="K27" s="39">
        <v>40</v>
      </c>
      <c r="L27" s="40">
        <f t="shared" si="7"/>
        <v>363.22360953461981</v>
      </c>
      <c r="M27" s="16">
        <v>13</v>
      </c>
      <c r="N27" s="16" t="str">
        <f t="shared" si="10"/>
        <v>EN 54C-10A40</v>
      </c>
      <c r="O27" s="16">
        <f t="shared" si="8"/>
        <v>8200</v>
      </c>
      <c r="P27" s="16" t="b">
        <f t="shared" si="9"/>
        <v>0</v>
      </c>
      <c r="Q27" s="16"/>
      <c r="R27" s="5"/>
      <c r="S27" s="5"/>
      <c r="T27" s="5"/>
      <c r="U27" s="5"/>
    </row>
    <row r="28" spans="1:21" x14ac:dyDescent="0.25">
      <c r="A28" s="16">
        <v>14</v>
      </c>
      <c r="B28" s="30" t="str">
        <f t="shared" si="1"/>
        <v>EN 54C-10A65</v>
      </c>
      <c r="C28" s="31" t="str">
        <f t="shared" si="2"/>
        <v>7,4 A</v>
      </c>
      <c r="D28" s="31" t="str">
        <f t="shared" si="4"/>
        <v>65 Ah</v>
      </c>
      <c r="E28" s="33">
        <f t="shared" si="5"/>
        <v>590.2383654937571</v>
      </c>
      <c r="F28" s="34">
        <f t="shared" si="6"/>
        <v>24.593265228906546</v>
      </c>
      <c r="G28" s="16">
        <f t="shared" si="3"/>
        <v>1</v>
      </c>
      <c r="H28" s="16">
        <f>IF(G28=0,0,COUNTIF($G$14:G27,"&gt;0")+1)</f>
        <v>14</v>
      </c>
      <c r="I28" s="16" t="s">
        <v>25</v>
      </c>
      <c r="J28" s="39">
        <v>7400</v>
      </c>
      <c r="K28" s="39">
        <v>65</v>
      </c>
      <c r="L28" s="40">
        <f t="shared" si="7"/>
        <v>590.2383654937571</v>
      </c>
      <c r="M28" s="16">
        <v>14</v>
      </c>
      <c r="N28" s="16" t="str">
        <f t="shared" si="10"/>
        <v>EN 54C-10A65</v>
      </c>
      <c r="O28" s="16">
        <f t="shared" si="8"/>
        <v>7400</v>
      </c>
      <c r="P28" s="16" t="b">
        <f t="shared" si="9"/>
        <v>0</v>
      </c>
      <c r="Q28" s="16"/>
      <c r="R28" s="5"/>
      <c r="S28" s="5"/>
      <c r="T28" s="5"/>
      <c r="U28" s="5"/>
    </row>
    <row r="29" spans="1:21" x14ac:dyDescent="0.25">
      <c r="A29" s="16">
        <v>15</v>
      </c>
      <c r="B29" s="30" t="str">
        <f t="shared" si="1"/>
        <v>AWZG2-24V2A-B</v>
      </c>
      <c r="C29" s="31" t="str">
        <f t="shared" si="2"/>
        <v>2 A</v>
      </c>
      <c r="D29" s="31" t="str">
        <f t="shared" si="4"/>
        <v>7 Ah</v>
      </c>
      <c r="E29" s="33">
        <f t="shared" si="5"/>
        <v>63.564131668558467</v>
      </c>
      <c r="F29" s="34">
        <f t="shared" si="6"/>
        <v>2.648505486189936</v>
      </c>
      <c r="G29" s="16">
        <f t="shared" si="3"/>
        <v>1</v>
      </c>
      <c r="H29" s="16">
        <f>IF(G29=0,0,COUNTIF($G$14:G28,"&gt;0")+1)</f>
        <v>15</v>
      </c>
      <c r="I29" s="16" t="s">
        <v>26</v>
      </c>
      <c r="J29" s="39">
        <v>2000</v>
      </c>
      <c r="K29" s="39">
        <v>7</v>
      </c>
      <c r="L29" s="40">
        <f t="shared" si="7"/>
        <v>63.564131668558467</v>
      </c>
      <c r="M29" s="16">
        <v>15</v>
      </c>
      <c r="N29" s="16" t="str">
        <f t="shared" si="10"/>
        <v>AWZG2-24V2A-B</v>
      </c>
      <c r="O29" s="16">
        <f t="shared" si="8"/>
        <v>2000</v>
      </c>
      <c r="P29" s="16" t="b">
        <f t="shared" si="9"/>
        <v>0</v>
      </c>
      <c r="Q29" s="16"/>
      <c r="R29" s="5"/>
      <c r="S29" s="5"/>
      <c r="T29" s="5"/>
      <c r="U29" s="5"/>
    </row>
    <row r="30" spans="1:21" x14ac:dyDescent="0.25">
      <c r="A30" s="16">
        <v>16</v>
      </c>
      <c r="B30" s="30" t="str">
        <f t="shared" si="1"/>
        <v>AWZG2-24V3A-C</v>
      </c>
      <c r="C30" s="31" t="str">
        <f t="shared" si="2"/>
        <v>3 A</v>
      </c>
      <c r="D30" s="31" t="str">
        <f t="shared" si="4"/>
        <v>17 Ah</v>
      </c>
      <c r="E30" s="33">
        <f t="shared" si="5"/>
        <v>154.37003405221341</v>
      </c>
      <c r="F30" s="34">
        <f t="shared" si="6"/>
        <v>6.4320847521755589</v>
      </c>
      <c r="G30" s="16">
        <f t="shared" si="3"/>
        <v>1</v>
      </c>
      <c r="H30" s="16">
        <f>IF(G30=0,0,COUNTIF($G$14:G29,"&gt;0")+1)</f>
        <v>16</v>
      </c>
      <c r="I30" s="16" t="s">
        <v>27</v>
      </c>
      <c r="J30" s="39">
        <v>3000</v>
      </c>
      <c r="K30" s="39">
        <v>17</v>
      </c>
      <c r="L30" s="40">
        <f t="shared" si="7"/>
        <v>154.37003405221341</v>
      </c>
      <c r="M30" s="16">
        <v>16</v>
      </c>
      <c r="N30" s="16" t="str">
        <f t="shared" si="10"/>
        <v>AWZG2-24V3A-C</v>
      </c>
      <c r="O30" s="16">
        <f t="shared" si="8"/>
        <v>3000</v>
      </c>
      <c r="P30" s="16" t="b">
        <f t="shared" si="9"/>
        <v>0</v>
      </c>
      <c r="Q30" s="16"/>
      <c r="R30" s="5"/>
      <c r="S30" s="5"/>
      <c r="T30" s="5"/>
      <c r="U30" s="5"/>
    </row>
    <row r="31" spans="1:21" x14ac:dyDescent="0.25">
      <c r="A31" s="9"/>
      <c r="B31" s="9"/>
      <c r="C31" s="9"/>
      <c r="D31" s="23"/>
      <c r="E31" s="23"/>
      <c r="F31" s="23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5"/>
      <c r="S31" s="5"/>
      <c r="T31" s="5"/>
      <c r="U31" s="5"/>
    </row>
    <row r="32" spans="1:21" x14ac:dyDescent="0.25">
      <c r="A32" s="9"/>
      <c r="B32" s="9"/>
      <c r="C32" s="9"/>
      <c r="D32" s="23"/>
      <c r="E32" s="23"/>
      <c r="F32" s="23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5"/>
      <c r="S32" s="5"/>
      <c r="T32" s="5"/>
      <c r="U32" s="5"/>
    </row>
    <row r="33" spans="1:21" x14ac:dyDescent="0.25">
      <c r="A33" s="9"/>
      <c r="B33" s="9"/>
      <c r="C33" s="9"/>
      <c r="D33" s="23"/>
      <c r="E33" s="23"/>
      <c r="F33" s="23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5"/>
      <c r="S33" s="5"/>
      <c r="T33" s="5"/>
      <c r="U33" s="5"/>
    </row>
    <row r="34" spans="1:21" x14ac:dyDescent="0.25">
      <c r="A34" s="9"/>
      <c r="B34" s="9"/>
      <c r="C34" s="9"/>
      <c r="D34" s="23"/>
      <c r="E34" s="23"/>
      <c r="F34" s="23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5"/>
      <c r="S34" s="5"/>
      <c r="T34" s="5"/>
      <c r="U34" s="5"/>
    </row>
    <row r="35" spans="1:21" x14ac:dyDescent="0.25">
      <c r="A35" s="9"/>
      <c r="B35" s="9"/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5"/>
      <c r="S35" s="5"/>
      <c r="T35" s="5"/>
      <c r="U35" s="5"/>
    </row>
    <row r="36" spans="1:21" x14ac:dyDescent="0.25">
      <c r="A36" s="9"/>
      <c r="B36" s="9"/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5"/>
      <c r="S36" s="5"/>
      <c r="T36" s="5"/>
      <c r="U36" s="5"/>
    </row>
  </sheetData>
  <sheetProtection algorithmName="SHA-512" hashValue="2e6APvQNK7YfoZ8A66pEpyHvyqVBLZ5Y1s6GQFHtcN6VqQ1Sxt9fdhtqKzNuaRTKB8+IysdhOAaUWTA0PYmNQA==" saltValue="6oKs4BOVGAqJBgJINXJxZQ==" spinCount="100000" sheet="1" objects="1" scenarios="1" selectLockedCells="1"/>
  <mergeCells count="4">
    <mergeCell ref="M3:Q3"/>
    <mergeCell ref="B2:D2"/>
    <mergeCell ref="B13:D13"/>
    <mergeCell ref="E13:F13"/>
  </mergeCells>
  <conditionalFormatting sqref="B15:B30">
    <cfRule type="expression" dxfId="14" priority="6">
      <formula>$P15=FALSE</formula>
    </cfRule>
  </conditionalFormatting>
  <conditionalFormatting sqref="C15:C30">
    <cfRule type="expression" dxfId="13" priority="5">
      <formula>P15=FALSE</formula>
    </cfRule>
  </conditionalFormatting>
  <conditionalFormatting sqref="D15:D30">
    <cfRule type="expression" dxfId="12" priority="4">
      <formula>P15=FALSE</formula>
    </cfRule>
  </conditionalFormatting>
  <conditionalFormatting sqref="E15:E30">
    <cfRule type="expression" dxfId="11" priority="3">
      <formula>P15=FALSE</formula>
    </cfRule>
  </conditionalFormatting>
  <conditionalFormatting sqref="F15:F30">
    <cfRule type="expression" dxfId="10" priority="1">
      <formula>P15=FALSE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2487-F9CF-4397-A9EC-F70FA34A6AEA}">
  <dimension ref="A1:V35"/>
  <sheetViews>
    <sheetView showGridLines="0" showRowColHeaders="0" workbookViewId="0">
      <selection activeCell="D5" sqref="D5"/>
    </sheetView>
  </sheetViews>
  <sheetFormatPr defaultRowHeight="15" x14ac:dyDescent="0.25"/>
  <cols>
    <col min="1" max="1" width="4.5703125" customWidth="1"/>
    <col min="2" max="2" width="18.85546875" customWidth="1"/>
    <col min="3" max="4" width="13.140625" customWidth="1"/>
    <col min="5" max="6" width="8.7109375" customWidth="1"/>
    <col min="7" max="7" width="5.7109375" customWidth="1"/>
    <col min="8" max="8" width="6.28515625" customWidth="1"/>
    <col min="9" max="9" width="10.28515625" customWidth="1"/>
    <col min="10" max="10" width="12.140625" customWidth="1"/>
    <col min="11" max="11" width="5.42578125" customWidth="1"/>
    <col min="12" max="12" width="7" customWidth="1"/>
    <col min="13" max="13" width="14" customWidth="1"/>
    <col min="14" max="14" width="14.7109375" customWidth="1"/>
    <col min="15" max="16" width="15.42578125" customWidth="1"/>
    <col min="17" max="18" width="14.42578125" customWidth="1"/>
    <col min="19" max="19" width="14.5703125" customWidth="1"/>
    <col min="21" max="21" width="26.28515625" customWidth="1"/>
  </cols>
  <sheetData>
    <row r="1" spans="1:22" ht="15.75" thickBot="1" x14ac:dyDescent="0.3">
      <c r="A1" s="9"/>
      <c r="B1" s="9"/>
      <c r="C1" s="9"/>
      <c r="D1" s="9"/>
      <c r="E1" s="9"/>
      <c r="F1" s="9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5.75" thickBot="1" x14ac:dyDescent="0.3">
      <c r="A2" s="9"/>
      <c r="B2" s="69" t="s">
        <v>41</v>
      </c>
      <c r="C2" s="70"/>
      <c r="D2" s="71"/>
      <c r="E2" s="9"/>
      <c r="F2" s="9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2" ht="15.75" thickBot="1" x14ac:dyDescent="0.3">
      <c r="A3" s="9"/>
      <c r="B3" s="9"/>
      <c r="C3" s="9"/>
      <c r="D3" s="10"/>
      <c r="E3" s="9"/>
      <c r="F3" s="9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2" ht="15.75" thickBot="1" x14ac:dyDescent="0.3">
      <c r="A4" s="9"/>
      <c r="B4" s="41" t="s">
        <v>0</v>
      </c>
      <c r="C4" s="42" t="s">
        <v>1</v>
      </c>
      <c r="D4" s="43" t="s">
        <v>2</v>
      </c>
      <c r="E4" s="9"/>
      <c r="F4" s="9"/>
      <c r="G4" s="23"/>
      <c r="H4" s="44"/>
      <c r="I4" s="44"/>
      <c r="J4" s="23"/>
      <c r="K4" s="23"/>
      <c r="L4" s="23"/>
      <c r="M4" s="76"/>
      <c r="N4" s="76"/>
      <c r="O4" s="76"/>
      <c r="P4" s="76"/>
      <c r="Q4" s="76"/>
      <c r="R4" s="76"/>
      <c r="S4" s="76"/>
    </row>
    <row r="5" spans="1:22" x14ac:dyDescent="0.25">
      <c r="A5" s="9"/>
      <c r="B5" s="46" t="s">
        <v>4</v>
      </c>
      <c r="C5" s="47">
        <v>480</v>
      </c>
      <c r="D5" s="6">
        <v>1</v>
      </c>
      <c r="E5" s="9"/>
      <c r="F5" s="16">
        <f>C5*D5</f>
        <v>480</v>
      </c>
      <c r="G5" s="23"/>
      <c r="H5" s="29"/>
      <c r="I5" s="29"/>
      <c r="J5" s="23"/>
      <c r="K5" s="23"/>
      <c r="L5" s="23"/>
      <c r="M5" s="45"/>
      <c r="N5" s="48"/>
      <c r="O5" s="48"/>
      <c r="P5" s="48"/>
      <c r="Q5" s="48"/>
      <c r="R5" s="48"/>
      <c r="S5" s="48"/>
    </row>
    <row r="6" spans="1:22" x14ac:dyDescent="0.25">
      <c r="A6" s="9"/>
      <c r="B6" s="49" t="s">
        <v>48</v>
      </c>
      <c r="C6" s="50">
        <v>480</v>
      </c>
      <c r="D6" s="7">
        <v>0</v>
      </c>
      <c r="E6" s="9"/>
      <c r="F6" s="16">
        <f t="shared" ref="F6:F10" si="0">C6*D6</f>
        <v>0</v>
      </c>
      <c r="G6" s="23"/>
      <c r="H6" s="29"/>
      <c r="I6" s="29"/>
      <c r="J6" s="23"/>
      <c r="K6" s="23"/>
      <c r="L6" s="23"/>
      <c r="M6" s="45"/>
      <c r="N6" s="51"/>
      <c r="O6" s="51"/>
      <c r="P6" s="51"/>
      <c r="Q6" s="51"/>
      <c r="R6" s="51"/>
      <c r="S6" s="51"/>
    </row>
    <row r="7" spans="1:22" x14ac:dyDescent="0.25">
      <c r="A7" s="9"/>
      <c r="B7" s="49" t="s">
        <v>5</v>
      </c>
      <c r="C7" s="50">
        <v>420</v>
      </c>
      <c r="D7" s="7">
        <v>0</v>
      </c>
      <c r="E7" s="9"/>
      <c r="F7" s="16">
        <f t="shared" si="0"/>
        <v>0</v>
      </c>
      <c r="G7" s="23"/>
      <c r="H7" s="29"/>
      <c r="I7" s="29"/>
      <c r="J7" s="23"/>
      <c r="K7" s="23"/>
      <c r="L7" s="23"/>
      <c r="M7" s="45"/>
      <c r="N7" s="45"/>
      <c r="O7" s="45"/>
      <c r="P7" s="45"/>
      <c r="Q7" s="45"/>
      <c r="R7" s="45"/>
      <c r="S7" s="45"/>
    </row>
    <row r="8" spans="1:22" x14ac:dyDescent="0.25">
      <c r="A8" s="9"/>
      <c r="B8" s="49" t="s">
        <v>6</v>
      </c>
      <c r="C8" s="50">
        <v>500</v>
      </c>
      <c r="D8" s="7">
        <v>0</v>
      </c>
      <c r="E8" s="9"/>
      <c r="F8" s="16">
        <f t="shared" si="0"/>
        <v>0</v>
      </c>
      <c r="G8" s="23"/>
      <c r="H8" s="29"/>
      <c r="I8" s="29"/>
      <c r="J8" s="23"/>
      <c r="K8" s="23"/>
      <c r="L8" s="23"/>
      <c r="M8" s="44"/>
      <c r="N8" s="44"/>
      <c r="O8" s="44"/>
      <c r="P8" s="44"/>
      <c r="Q8" s="44"/>
      <c r="R8" s="44"/>
      <c r="S8" s="44"/>
    </row>
    <row r="9" spans="1:22" x14ac:dyDescent="0.25">
      <c r="A9" s="9"/>
      <c r="B9" s="49" t="s">
        <v>7</v>
      </c>
      <c r="C9" s="50">
        <v>480</v>
      </c>
      <c r="D9" s="7">
        <v>0</v>
      </c>
      <c r="E9" s="9"/>
      <c r="F9" s="16">
        <f t="shared" si="0"/>
        <v>0</v>
      </c>
      <c r="G9" s="23"/>
      <c r="H9" s="29"/>
      <c r="I9" s="29"/>
      <c r="J9" s="23"/>
      <c r="K9" s="23"/>
      <c r="L9" s="23"/>
      <c r="M9" s="45"/>
      <c r="N9" s="45"/>
      <c r="O9" s="45"/>
      <c r="P9" s="45"/>
      <c r="Q9" s="45"/>
      <c r="R9" s="45"/>
      <c r="S9" s="45"/>
      <c r="U9" s="2"/>
      <c r="V9" s="2"/>
    </row>
    <row r="10" spans="1:22" ht="15.75" thickBot="1" x14ac:dyDescent="0.3">
      <c r="A10" s="9"/>
      <c r="B10" s="52" t="s">
        <v>49</v>
      </c>
      <c r="C10" s="53">
        <v>480</v>
      </c>
      <c r="D10" s="8">
        <v>0</v>
      </c>
      <c r="E10" s="9"/>
      <c r="F10" s="16">
        <f t="shared" si="0"/>
        <v>0</v>
      </c>
      <c r="G10" s="23"/>
      <c r="H10" s="29"/>
      <c r="I10" s="29"/>
      <c r="J10" s="23"/>
      <c r="K10" s="23"/>
      <c r="L10" s="23"/>
      <c r="M10" s="23"/>
      <c r="N10" s="44"/>
      <c r="O10" s="44"/>
      <c r="P10" s="44"/>
      <c r="Q10" s="44"/>
      <c r="R10" s="44"/>
      <c r="S10" s="44"/>
      <c r="V10" s="2"/>
    </row>
    <row r="11" spans="1:22" ht="15.75" thickBot="1" x14ac:dyDescent="0.3">
      <c r="A11" s="9"/>
      <c r="B11" s="9"/>
      <c r="C11" s="54"/>
      <c r="D11" s="54"/>
      <c r="E11" s="9"/>
      <c r="F11" s="16">
        <v>0.1</v>
      </c>
      <c r="G11" s="23"/>
      <c r="H11" s="23"/>
      <c r="I11" s="23"/>
      <c r="J11" s="29"/>
      <c r="K11" s="29"/>
      <c r="L11" s="29"/>
      <c r="M11" s="23"/>
      <c r="N11" s="44"/>
      <c r="O11" s="44"/>
      <c r="P11" s="44"/>
      <c r="Q11" s="44"/>
      <c r="R11" s="44"/>
      <c r="S11" s="44"/>
      <c r="V11" s="2"/>
    </row>
    <row r="12" spans="1:22" ht="15.75" thickBot="1" x14ac:dyDescent="0.3">
      <c r="A12" s="9"/>
      <c r="B12" s="9"/>
      <c r="C12" s="55" t="s">
        <v>37</v>
      </c>
      <c r="D12" s="56">
        <f>SUM(F5:F11)</f>
        <v>480.1</v>
      </c>
      <c r="E12" s="9"/>
      <c r="F12" s="9"/>
      <c r="G12" s="23"/>
      <c r="H12" s="23"/>
      <c r="I12" s="23"/>
      <c r="J12" s="29"/>
      <c r="K12" s="29"/>
      <c r="L12" s="29"/>
      <c r="M12" s="23"/>
      <c r="N12" s="23"/>
      <c r="O12" s="23"/>
      <c r="P12" s="23"/>
      <c r="Q12" s="23"/>
      <c r="R12" s="23"/>
      <c r="S12" s="23"/>
      <c r="V12" s="2"/>
    </row>
    <row r="13" spans="1:22" x14ac:dyDescent="0.25">
      <c r="A13" s="9"/>
      <c r="B13" s="9"/>
      <c r="C13" s="9"/>
      <c r="D13" s="9"/>
      <c r="E13" s="9"/>
      <c r="F13" s="9"/>
      <c r="G13" s="23"/>
      <c r="H13" s="23"/>
      <c r="I13" s="23"/>
      <c r="J13" s="29"/>
      <c r="K13" s="29"/>
      <c r="L13" s="29"/>
      <c r="M13" s="23"/>
      <c r="N13" s="23"/>
      <c r="O13" s="23"/>
      <c r="P13" s="23"/>
      <c r="Q13" s="23"/>
      <c r="R13" s="23"/>
      <c r="S13" s="23"/>
      <c r="V13" s="2"/>
    </row>
    <row r="14" spans="1:22" ht="15.75" thickBot="1" x14ac:dyDescent="0.3">
      <c r="A14" s="9"/>
      <c r="B14" s="77"/>
      <c r="C14" s="77"/>
      <c r="D14" s="57"/>
      <c r="E14" s="58"/>
      <c r="F14" s="58"/>
      <c r="G14" s="23"/>
      <c r="H14" s="29"/>
      <c r="I14" s="29"/>
      <c r="J14" s="29"/>
      <c r="K14" s="29"/>
      <c r="L14" s="29"/>
      <c r="M14" s="23"/>
      <c r="N14" s="23"/>
      <c r="O14" s="23"/>
      <c r="P14" s="23"/>
      <c r="Q14" s="23"/>
      <c r="R14" s="23"/>
      <c r="S14" s="23"/>
      <c r="V14" s="2"/>
    </row>
    <row r="15" spans="1:22" x14ac:dyDescent="0.25">
      <c r="A15" s="9"/>
      <c r="B15" s="72" t="s">
        <v>3</v>
      </c>
      <c r="C15" s="73"/>
      <c r="D15" s="73"/>
      <c r="E15" s="78" t="s">
        <v>40</v>
      </c>
      <c r="F15" s="79"/>
      <c r="G15" s="35"/>
      <c r="H15" s="16"/>
      <c r="I15" s="16"/>
      <c r="J15" s="39"/>
      <c r="K15" s="39"/>
      <c r="L15" s="39"/>
      <c r="M15" s="16"/>
      <c r="N15" s="16"/>
      <c r="O15" s="16"/>
      <c r="P15" s="16"/>
      <c r="Q15" s="16"/>
      <c r="R15" s="16"/>
      <c r="S15" s="16"/>
      <c r="V15" s="2"/>
    </row>
    <row r="16" spans="1:22" ht="15.75" thickBot="1" x14ac:dyDescent="0.3">
      <c r="A16" s="22"/>
      <c r="B16" s="59" t="s">
        <v>28</v>
      </c>
      <c r="C16" s="25" t="s">
        <v>38</v>
      </c>
      <c r="D16" s="26" t="s">
        <v>36</v>
      </c>
      <c r="E16" s="27" t="s">
        <v>46</v>
      </c>
      <c r="F16" s="28" t="s">
        <v>39</v>
      </c>
      <c r="G16" s="35"/>
      <c r="H16" s="39"/>
      <c r="I16" s="39"/>
      <c r="J16" s="39" t="s">
        <v>29</v>
      </c>
      <c r="K16" s="39"/>
      <c r="L16" s="39"/>
      <c r="M16" s="16"/>
      <c r="N16" s="16"/>
      <c r="O16" s="16"/>
      <c r="P16" s="16"/>
      <c r="Q16" s="16"/>
      <c r="R16" s="16"/>
      <c r="S16" s="16"/>
    </row>
    <row r="17" spans="1:19" x14ac:dyDescent="0.25">
      <c r="A17" s="16">
        <v>1</v>
      </c>
      <c r="B17" s="30" t="str">
        <f>VLOOKUP($A17,$M$16:$S$31,2,FALSE)</f>
        <v>AWZG2-12V2A-B</v>
      </c>
      <c r="C17" s="31" t="str">
        <f>_xlfn.CONCAT((VLOOKUP($A17,$M$16:$P$31,3,FALSE))/1000," A")</f>
        <v>2 A</v>
      </c>
      <c r="D17" s="31" t="str">
        <f>_xlfn.CONCAT((VLOOKUP($B17,$I$16:$L$31,3,FALSE))," Ah")</f>
        <v>7 Ah</v>
      </c>
      <c r="E17" s="33">
        <f>VLOOKUP($B17,$I$16:$L$31,4,FALSE)</f>
        <v>11.664236617371381</v>
      </c>
      <c r="F17" s="60">
        <f>E17/24</f>
        <v>0.48600985905714089</v>
      </c>
      <c r="G17" s="16">
        <f>IF($D$12&lt;$J17,1,0)</f>
        <v>1</v>
      </c>
      <c r="H17" s="16">
        <f>IF(G17=0,0,COUNTIF($G$15:G16,"&gt;0")+1)</f>
        <v>1</v>
      </c>
      <c r="I17" s="16" t="s">
        <v>30</v>
      </c>
      <c r="J17" s="39">
        <v>2000</v>
      </c>
      <c r="K17" s="16">
        <v>7</v>
      </c>
      <c r="L17" s="61">
        <f>$K17*0.8/$D$12*1000</f>
        <v>11.664236617371381</v>
      </c>
      <c r="M17" s="16">
        <v>1</v>
      </c>
      <c r="N17" s="16" t="str">
        <f>VLOOKUP($M17,$H$16:$J$31,2,FALSE)</f>
        <v>AWZG2-12V2A-B</v>
      </c>
      <c r="O17" s="16">
        <f>VLOOKUP($M17,$H$16:$J$31,3,FALSE)</f>
        <v>2000</v>
      </c>
      <c r="P17" s="16">
        <v>7</v>
      </c>
      <c r="Q17" s="16" t="b">
        <f>ISERROR(N17)</f>
        <v>0</v>
      </c>
      <c r="R17" s="61">
        <f>$P17*0.8/$D$12*1000</f>
        <v>11.664236617371381</v>
      </c>
      <c r="S17" s="61">
        <f>R17/24</f>
        <v>0.48600985905714089</v>
      </c>
    </row>
    <row r="18" spans="1:19" x14ac:dyDescent="0.25">
      <c r="A18" s="16">
        <v>2</v>
      </c>
      <c r="B18" s="30" t="str">
        <f>VLOOKUP($A18,$M$16:$O$31,2,FALSE)</f>
        <v>AWZG2-12V3A-C</v>
      </c>
      <c r="C18" s="31" t="str">
        <f t="shared" ref="C18:C22" si="1">_xlfn.CONCAT((VLOOKUP($A18,$M$16:$P$31,3,FALSE))/1000," A")</f>
        <v>3 A</v>
      </c>
      <c r="D18" s="31" t="str">
        <f t="shared" ref="D18:D22" si="2">_xlfn.CONCAT((VLOOKUP($B18,$I$16:$L$31,3,FALSE))," Ah")</f>
        <v>17 Ah</v>
      </c>
      <c r="E18" s="33">
        <f t="shared" ref="E18:E22" si="3">VLOOKUP($B18,$I$16:$L$31,4,FALSE)</f>
        <v>28.327431785044784</v>
      </c>
      <c r="F18" s="60">
        <f t="shared" ref="F18:F22" si="4">E18/24</f>
        <v>1.1803096577101992</v>
      </c>
      <c r="G18" s="16">
        <f t="shared" ref="G18:G24" si="5">IF($D$12&lt;$J18,1,0)</f>
        <v>1</v>
      </c>
      <c r="H18" s="16">
        <f>IF(G18=0,0,COUNTIF($G$15:G17,"&gt;0")+1)</f>
        <v>2</v>
      </c>
      <c r="I18" s="16" t="s">
        <v>31</v>
      </c>
      <c r="J18" s="39">
        <v>3000</v>
      </c>
      <c r="K18" s="16">
        <v>17</v>
      </c>
      <c r="L18" s="61">
        <f t="shared" ref="L18:L22" si="6">$K18*0.8/$D$12*1000</f>
        <v>28.327431785044784</v>
      </c>
      <c r="M18" s="16">
        <v>2</v>
      </c>
      <c r="N18" s="16" t="str">
        <f t="shared" ref="N18:N24" si="7">VLOOKUP($M18,$H$16:$J$31,2,FALSE)</f>
        <v>AWZG2-12V3A-C</v>
      </c>
      <c r="O18" s="16">
        <f t="shared" ref="O18:O24" si="8">VLOOKUP($M18,$H$16:$J$31,3,FALSE)</f>
        <v>3000</v>
      </c>
      <c r="P18" s="16">
        <v>17</v>
      </c>
      <c r="Q18" s="16" t="b">
        <f t="shared" ref="Q18:Q22" si="9">ISERROR(N18)</f>
        <v>0</v>
      </c>
      <c r="R18" s="61">
        <f t="shared" ref="R18:R22" si="10">$P18*0.8/$D$12*1000</f>
        <v>28.327431785044784</v>
      </c>
      <c r="S18" s="61">
        <f t="shared" ref="S18:S22" si="11">R18/24</f>
        <v>1.1803096577101992</v>
      </c>
    </row>
    <row r="19" spans="1:19" x14ac:dyDescent="0.25">
      <c r="A19" s="16">
        <v>3</v>
      </c>
      <c r="B19" s="30" t="str">
        <f>VLOOKUP($A19,$M$16:$O$31,2,FALSE)</f>
        <v>AWZG2-12V5A-C</v>
      </c>
      <c r="C19" s="31" t="str">
        <f t="shared" si="1"/>
        <v>5 A</v>
      </c>
      <c r="D19" s="31" t="str">
        <f t="shared" si="2"/>
        <v>17 Ah</v>
      </c>
      <c r="E19" s="33">
        <f t="shared" si="3"/>
        <v>28.327431785044784</v>
      </c>
      <c r="F19" s="60">
        <f t="shared" si="4"/>
        <v>1.1803096577101992</v>
      </c>
      <c r="G19" s="16">
        <f t="shared" si="5"/>
        <v>1</v>
      </c>
      <c r="H19" s="16">
        <f>IF(G19=0,0,COUNTIF($G$15:G18,"&gt;0")+1)</f>
        <v>3</v>
      </c>
      <c r="I19" s="16" t="s">
        <v>32</v>
      </c>
      <c r="J19" s="39">
        <v>5000</v>
      </c>
      <c r="K19" s="16">
        <v>17</v>
      </c>
      <c r="L19" s="61">
        <f t="shared" si="6"/>
        <v>28.327431785044784</v>
      </c>
      <c r="M19" s="16">
        <v>3</v>
      </c>
      <c r="N19" s="16" t="str">
        <f t="shared" si="7"/>
        <v>AWZG2-12V5A-C</v>
      </c>
      <c r="O19" s="16">
        <f t="shared" si="8"/>
        <v>5000</v>
      </c>
      <c r="P19" s="16">
        <v>17</v>
      </c>
      <c r="Q19" s="16" t="b">
        <f t="shared" si="9"/>
        <v>0</v>
      </c>
      <c r="R19" s="61">
        <f t="shared" si="10"/>
        <v>28.327431785044784</v>
      </c>
      <c r="S19" s="61">
        <f t="shared" si="11"/>
        <v>1.1803096577101992</v>
      </c>
    </row>
    <row r="20" spans="1:19" x14ac:dyDescent="0.25">
      <c r="A20" s="16">
        <v>4</v>
      </c>
      <c r="B20" s="30" t="str">
        <f>VLOOKUP($A20,$M$16:$O$31,2,FALSE)</f>
        <v>AWZG2-12V5A-D</v>
      </c>
      <c r="C20" s="31" t="str">
        <f t="shared" si="1"/>
        <v>5 A</v>
      </c>
      <c r="D20" s="31" t="str">
        <f t="shared" si="2"/>
        <v>40 Ah</v>
      </c>
      <c r="E20" s="33">
        <f t="shared" si="3"/>
        <v>66.652780670693602</v>
      </c>
      <c r="F20" s="60">
        <f t="shared" si="4"/>
        <v>2.7771991946122334</v>
      </c>
      <c r="G20" s="16">
        <f t="shared" si="5"/>
        <v>1</v>
      </c>
      <c r="H20" s="16">
        <f>IF(G20=0,0,COUNTIF($G$15:G19,"&gt;0")+1)</f>
        <v>4</v>
      </c>
      <c r="I20" s="16" t="s">
        <v>33</v>
      </c>
      <c r="J20" s="39">
        <v>5000</v>
      </c>
      <c r="K20" s="16">
        <v>40</v>
      </c>
      <c r="L20" s="61">
        <f t="shared" si="6"/>
        <v>66.652780670693602</v>
      </c>
      <c r="M20" s="16">
        <v>4</v>
      </c>
      <c r="N20" s="16" t="str">
        <f t="shared" si="7"/>
        <v>AWZG2-12V5A-D</v>
      </c>
      <c r="O20" s="16">
        <f t="shared" si="8"/>
        <v>5000</v>
      </c>
      <c r="P20" s="16">
        <v>40</v>
      </c>
      <c r="Q20" s="16" t="b">
        <f t="shared" si="9"/>
        <v>0</v>
      </c>
      <c r="R20" s="61">
        <f t="shared" si="10"/>
        <v>66.652780670693602</v>
      </c>
      <c r="S20" s="61">
        <f t="shared" si="11"/>
        <v>2.7771991946122334</v>
      </c>
    </row>
    <row r="21" spans="1:19" x14ac:dyDescent="0.25">
      <c r="A21" s="16">
        <v>5</v>
      </c>
      <c r="B21" s="30" t="str">
        <f>VLOOKUP($A21,$M$16:$O$31,2,FALSE)</f>
        <v>HPSB-10A12V-D</v>
      </c>
      <c r="C21" s="31" t="str">
        <f t="shared" si="1"/>
        <v>10 A</v>
      </c>
      <c r="D21" s="31" t="str">
        <f t="shared" si="2"/>
        <v>40 Ah</v>
      </c>
      <c r="E21" s="33">
        <f t="shared" si="3"/>
        <v>66.652780670693602</v>
      </c>
      <c r="F21" s="60">
        <f t="shared" si="4"/>
        <v>2.7771991946122334</v>
      </c>
      <c r="G21" s="16">
        <f t="shared" si="5"/>
        <v>1</v>
      </c>
      <c r="H21" s="16">
        <f>IF(G21=0,0,COUNTIF($G$15:G20,"&gt;0")+1)</f>
        <v>5</v>
      </c>
      <c r="I21" s="16" t="s">
        <v>35</v>
      </c>
      <c r="J21" s="39">
        <v>10000</v>
      </c>
      <c r="K21" s="16">
        <v>40</v>
      </c>
      <c r="L21" s="61">
        <f t="shared" si="6"/>
        <v>66.652780670693602</v>
      </c>
      <c r="M21" s="16">
        <v>5</v>
      </c>
      <c r="N21" s="16" t="str">
        <f t="shared" si="7"/>
        <v>HPSB-10A12V-D</v>
      </c>
      <c r="O21" s="16">
        <f t="shared" si="8"/>
        <v>10000</v>
      </c>
      <c r="P21" s="16">
        <v>40</v>
      </c>
      <c r="Q21" s="16" t="b">
        <f t="shared" si="9"/>
        <v>0</v>
      </c>
      <c r="R21" s="61">
        <f t="shared" si="10"/>
        <v>66.652780670693602</v>
      </c>
      <c r="S21" s="61">
        <f t="shared" si="11"/>
        <v>2.7771991946122334</v>
      </c>
    </row>
    <row r="22" spans="1:19" x14ac:dyDescent="0.25">
      <c r="A22" s="16">
        <v>6</v>
      </c>
      <c r="B22" s="30" t="str">
        <f>VLOOKUP($A22,$M$16:$O$31,2,FALSE)</f>
        <v>HPSB-20A12V-E</v>
      </c>
      <c r="C22" s="31" t="str">
        <f t="shared" si="1"/>
        <v>20 A</v>
      </c>
      <c r="D22" s="31" t="str">
        <f t="shared" si="2"/>
        <v>65 Ah</v>
      </c>
      <c r="E22" s="33">
        <f t="shared" si="3"/>
        <v>108.31076858987711</v>
      </c>
      <c r="F22" s="60">
        <f t="shared" si="4"/>
        <v>4.5129486912448797</v>
      </c>
      <c r="G22" s="16">
        <f t="shared" si="5"/>
        <v>1</v>
      </c>
      <c r="H22" s="16">
        <f>IF(G22=0,0,COUNTIF($G$15:G21,"&gt;0")+1)</f>
        <v>6</v>
      </c>
      <c r="I22" s="16" t="s">
        <v>34</v>
      </c>
      <c r="J22" s="39">
        <v>20000</v>
      </c>
      <c r="K22" s="16">
        <v>65</v>
      </c>
      <c r="L22" s="61">
        <f t="shared" si="6"/>
        <v>108.31076858987711</v>
      </c>
      <c r="M22" s="16">
        <v>6</v>
      </c>
      <c r="N22" s="16" t="str">
        <f t="shared" si="7"/>
        <v>HPSB-20A12V-E</v>
      </c>
      <c r="O22" s="16">
        <f t="shared" si="8"/>
        <v>20000</v>
      </c>
      <c r="P22" s="16">
        <v>65</v>
      </c>
      <c r="Q22" s="16" t="b">
        <f t="shared" si="9"/>
        <v>0</v>
      </c>
      <c r="R22" s="61">
        <f t="shared" si="10"/>
        <v>108.31076858987711</v>
      </c>
      <c r="S22" s="61">
        <f t="shared" si="11"/>
        <v>4.5129486912448797</v>
      </c>
    </row>
    <row r="23" spans="1:19" x14ac:dyDescent="0.25">
      <c r="A23" s="9"/>
      <c r="B23" s="9"/>
      <c r="C23" s="9"/>
      <c r="D23" s="9"/>
      <c r="E23" s="58"/>
      <c r="F23" s="58"/>
      <c r="G23" s="16">
        <f t="shared" si="5"/>
        <v>0</v>
      </c>
      <c r="H23" s="16">
        <f>IF(G23=0,0,COUNTIF($G$15:G22,"&gt;0")+1)</f>
        <v>0</v>
      </c>
      <c r="I23" s="16"/>
      <c r="J23" s="39"/>
      <c r="K23" s="39"/>
      <c r="L23" s="39"/>
      <c r="M23" s="16"/>
      <c r="N23" s="16">
        <f t="shared" si="7"/>
        <v>0</v>
      </c>
      <c r="O23" s="16">
        <f t="shared" si="8"/>
        <v>0</v>
      </c>
      <c r="P23" s="16"/>
      <c r="Q23" s="16"/>
      <c r="R23" s="16"/>
      <c r="S23" s="16"/>
    </row>
    <row r="24" spans="1:19" x14ac:dyDescent="0.25">
      <c r="A24" s="9"/>
      <c r="B24" s="9"/>
      <c r="C24" s="9"/>
      <c r="D24" s="9"/>
      <c r="E24" s="9"/>
      <c r="F24" s="9"/>
      <c r="G24" s="16">
        <f t="shared" si="5"/>
        <v>0</v>
      </c>
      <c r="H24" s="16">
        <f>IF(G24=0,0,COUNTIF($G$15:G23,"&gt;0")+1)</f>
        <v>0</v>
      </c>
      <c r="I24" s="16"/>
      <c r="J24" s="39"/>
      <c r="K24" s="39"/>
      <c r="L24" s="39"/>
      <c r="M24" s="16"/>
      <c r="N24" s="16">
        <f t="shared" si="7"/>
        <v>0</v>
      </c>
      <c r="O24" s="16">
        <f t="shared" si="8"/>
        <v>0</v>
      </c>
      <c r="P24" s="16"/>
      <c r="Q24" s="16"/>
      <c r="R24" s="16"/>
      <c r="S24" s="16"/>
    </row>
    <row r="25" spans="1:19" x14ac:dyDescent="0.25">
      <c r="A25" s="9"/>
      <c r="B25" s="9"/>
      <c r="C25" s="9"/>
      <c r="D25" s="9"/>
      <c r="E25" s="9"/>
      <c r="F25" s="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9"/>
      <c r="B26" s="9"/>
      <c r="C26" s="9"/>
      <c r="D26" s="9"/>
      <c r="E26" s="9"/>
      <c r="F26" s="9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9"/>
      <c r="B27" s="9"/>
      <c r="C27" s="9"/>
      <c r="D27" s="9"/>
      <c r="E27" s="9"/>
      <c r="F27" s="9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9"/>
      <c r="B28" s="9"/>
      <c r="C28" s="9"/>
      <c r="D28" s="9"/>
      <c r="E28" s="9"/>
      <c r="F28" s="9"/>
      <c r="G28" s="23"/>
      <c r="H28" s="23"/>
      <c r="I28" s="23"/>
      <c r="J28" s="29"/>
      <c r="K28" s="29"/>
      <c r="L28" s="29"/>
      <c r="M28" s="23"/>
      <c r="N28" s="23"/>
      <c r="O28" s="23"/>
      <c r="P28" s="23"/>
      <c r="Q28" s="23"/>
      <c r="R28" s="23"/>
      <c r="S28" s="23"/>
    </row>
    <row r="29" spans="1:19" x14ac:dyDescent="0.25">
      <c r="A29" s="9"/>
      <c r="B29" s="9"/>
      <c r="C29" s="9"/>
      <c r="D29" s="9"/>
      <c r="E29" s="9"/>
      <c r="F29" s="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9"/>
      <c r="B30" s="9"/>
      <c r="C30" s="9"/>
      <c r="D30" s="9"/>
      <c r="E30" s="9"/>
      <c r="F30" s="9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9"/>
      <c r="B31" s="9"/>
      <c r="C31" s="9"/>
      <c r="D31" s="9"/>
      <c r="E31" s="9"/>
      <c r="F31" s="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9"/>
      <c r="B32" s="9"/>
      <c r="C32" s="9"/>
      <c r="D32" s="9"/>
      <c r="E32" s="9"/>
      <c r="F32" s="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9"/>
      <c r="B33" s="9"/>
      <c r="C33" s="9"/>
      <c r="D33" s="9"/>
      <c r="E33" s="9"/>
      <c r="F33" s="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sheetProtection algorithmName="SHA-512" hashValue="m4CkFV18fjsICDh+/zDfplfVH1l6hhj+EAWCdirgxnYs/Mso91l/GpA51FSx8nznenPJ3MSVPsZDl0i7ThUQnw==" saltValue="+cfMhtP60Ndt1EpaDakBjw==" spinCount="100000" sheet="1" objects="1" scenarios="1" selectLockedCells="1"/>
  <mergeCells count="5">
    <mergeCell ref="M4:S4"/>
    <mergeCell ref="B14:C14"/>
    <mergeCell ref="B15:D15"/>
    <mergeCell ref="E15:F15"/>
    <mergeCell ref="B2:D2"/>
  </mergeCells>
  <conditionalFormatting sqref="B17:B22">
    <cfRule type="expression" dxfId="9" priority="8">
      <formula>$Q17=FALSE</formula>
    </cfRule>
  </conditionalFormatting>
  <conditionalFormatting sqref="C17:C22">
    <cfRule type="expression" dxfId="8" priority="7">
      <formula>Q17=FALSE</formula>
    </cfRule>
  </conditionalFormatting>
  <conditionalFormatting sqref="D17:D22">
    <cfRule type="expression" dxfId="7" priority="5">
      <formula>Q17=FALSE</formula>
    </cfRule>
  </conditionalFormatting>
  <conditionalFormatting sqref="E17:E22">
    <cfRule type="expression" dxfId="6" priority="2">
      <formula>Q17=FALSE</formula>
    </cfRule>
  </conditionalFormatting>
  <conditionalFormatting sqref="F17:F22">
    <cfRule type="expression" dxfId="5" priority="1">
      <formula>Q17=FALSE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51AD-C355-4051-A771-8B0D3C885E7D}">
  <dimension ref="A1:T42"/>
  <sheetViews>
    <sheetView showGridLines="0" showRowColHeaders="0" workbookViewId="0">
      <selection activeCell="D6" sqref="D6"/>
    </sheetView>
  </sheetViews>
  <sheetFormatPr defaultRowHeight="15" x14ac:dyDescent="0.25"/>
  <cols>
    <col min="1" max="1" width="4.5703125" customWidth="1"/>
    <col min="2" max="2" width="19" customWidth="1"/>
    <col min="3" max="4" width="13.140625" customWidth="1"/>
    <col min="5" max="6" width="8.7109375" customWidth="1"/>
    <col min="7" max="8" width="4.7109375" customWidth="1"/>
    <col min="9" max="9" width="16.7109375" customWidth="1"/>
    <col min="10" max="10" width="10.85546875" customWidth="1"/>
    <col min="11" max="11" width="7.140625" customWidth="1"/>
    <col min="12" max="12" width="8.140625" customWidth="1"/>
    <col min="13" max="13" width="8" customWidth="1"/>
    <col min="14" max="16" width="14.42578125" customWidth="1"/>
    <col min="17" max="20" width="14.28515625" customWidth="1"/>
  </cols>
  <sheetData>
    <row r="1" spans="1:20" ht="15.75" thickBo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0" ht="15.75" thickBot="1" x14ac:dyDescent="0.3">
      <c r="A2" s="9"/>
      <c r="B2" s="69" t="s">
        <v>41</v>
      </c>
      <c r="C2" s="70"/>
      <c r="D2" s="7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20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77"/>
      <c r="N3" s="80"/>
      <c r="O3" s="80"/>
      <c r="P3" s="80"/>
      <c r="Q3" s="80"/>
    </row>
    <row r="4" spans="1:20" ht="15.75" thickBot="1" x14ac:dyDescent="0.3">
      <c r="A4" s="9"/>
      <c r="B4" s="41" t="s">
        <v>0</v>
      </c>
      <c r="C4" s="42" t="s">
        <v>1</v>
      </c>
      <c r="D4" s="43" t="s">
        <v>2</v>
      </c>
      <c r="E4" s="10"/>
      <c r="F4" s="10"/>
      <c r="G4" s="9"/>
      <c r="H4" s="9"/>
      <c r="I4" s="9"/>
      <c r="J4" s="77"/>
      <c r="K4" s="77"/>
      <c r="L4" s="77"/>
      <c r="M4" s="77"/>
      <c r="N4" s="77"/>
      <c r="O4" s="77"/>
      <c r="P4" s="77"/>
      <c r="Q4" s="77"/>
    </row>
    <row r="5" spans="1:20" x14ac:dyDescent="0.25">
      <c r="A5" s="9"/>
      <c r="B5" s="46" t="s">
        <v>4</v>
      </c>
      <c r="C5" s="47">
        <v>240</v>
      </c>
      <c r="D5" s="6">
        <v>1</v>
      </c>
      <c r="E5" s="10"/>
      <c r="F5" s="10"/>
      <c r="G5" s="9"/>
      <c r="H5" s="9"/>
      <c r="I5" s="16">
        <f>C5*D5</f>
        <v>240</v>
      </c>
      <c r="J5" s="10"/>
      <c r="K5" s="10"/>
      <c r="L5" s="10"/>
      <c r="M5" s="62"/>
      <c r="N5" s="62"/>
      <c r="O5" s="62"/>
      <c r="P5" s="62"/>
      <c r="Q5" s="62"/>
    </row>
    <row r="6" spans="1:20" x14ac:dyDescent="0.25">
      <c r="A6" s="9"/>
      <c r="B6" s="49" t="s">
        <v>48</v>
      </c>
      <c r="C6" s="50">
        <v>240</v>
      </c>
      <c r="D6" s="7">
        <v>0</v>
      </c>
      <c r="E6" s="10"/>
      <c r="F6" s="10"/>
      <c r="G6" s="9"/>
      <c r="H6" s="9"/>
      <c r="I6" s="16">
        <f t="shared" ref="I6:I10" si="0">C6*D6</f>
        <v>0</v>
      </c>
      <c r="J6" s="10"/>
      <c r="K6" s="10"/>
      <c r="L6" s="10"/>
      <c r="M6" s="63"/>
      <c r="N6" s="63"/>
      <c r="O6" s="63"/>
      <c r="P6" s="63"/>
      <c r="Q6" s="63"/>
    </row>
    <row r="7" spans="1:20" x14ac:dyDescent="0.25">
      <c r="A7" s="9"/>
      <c r="B7" s="49" t="s">
        <v>5</v>
      </c>
      <c r="C7" s="50">
        <v>210</v>
      </c>
      <c r="D7" s="7">
        <v>0</v>
      </c>
      <c r="E7" s="10"/>
      <c r="F7" s="10"/>
      <c r="G7" s="9"/>
      <c r="H7" s="9"/>
      <c r="I7" s="16">
        <f t="shared" si="0"/>
        <v>0</v>
      </c>
      <c r="J7" s="57"/>
      <c r="K7" s="57"/>
      <c r="L7" s="57"/>
      <c r="M7" s="57"/>
      <c r="N7" s="57"/>
      <c r="O7" s="57"/>
      <c r="P7" s="57"/>
      <c r="Q7" s="57"/>
    </row>
    <row r="8" spans="1:20" x14ac:dyDescent="0.25">
      <c r="A8" s="9"/>
      <c r="B8" s="49" t="s">
        <v>6</v>
      </c>
      <c r="C8" s="50">
        <v>250</v>
      </c>
      <c r="D8" s="7">
        <v>0</v>
      </c>
      <c r="E8" s="10"/>
      <c r="F8" s="10"/>
      <c r="G8" s="9"/>
      <c r="H8" s="9"/>
      <c r="I8" s="16">
        <f t="shared" si="0"/>
        <v>0</v>
      </c>
      <c r="J8" s="10"/>
      <c r="K8" s="10"/>
      <c r="L8" s="10"/>
      <c r="M8" s="10"/>
      <c r="N8" s="10"/>
      <c r="O8" s="10"/>
      <c r="P8" s="10"/>
      <c r="Q8" s="10"/>
    </row>
    <row r="9" spans="1:20" x14ac:dyDescent="0.25">
      <c r="A9" s="9"/>
      <c r="B9" s="49" t="s">
        <v>7</v>
      </c>
      <c r="C9" s="50">
        <v>250</v>
      </c>
      <c r="D9" s="7">
        <v>0</v>
      </c>
      <c r="E9" s="10"/>
      <c r="F9" s="10"/>
      <c r="G9" s="9"/>
      <c r="H9" s="9"/>
      <c r="I9" s="16">
        <f t="shared" si="0"/>
        <v>0</v>
      </c>
      <c r="J9" s="10"/>
      <c r="K9" s="10"/>
      <c r="L9" s="10"/>
      <c r="M9" s="57"/>
      <c r="N9" s="57"/>
      <c r="O9" s="57"/>
      <c r="P9" s="57"/>
      <c r="Q9" s="57"/>
    </row>
    <row r="10" spans="1:20" ht="15.75" thickBot="1" x14ac:dyDescent="0.3">
      <c r="A10" s="9"/>
      <c r="B10" s="52" t="s">
        <v>49</v>
      </c>
      <c r="C10" s="53">
        <v>240</v>
      </c>
      <c r="D10" s="8">
        <v>0</v>
      </c>
      <c r="E10" s="10"/>
      <c r="F10" s="10"/>
      <c r="G10" s="9"/>
      <c r="H10" s="9"/>
      <c r="I10" s="16">
        <f t="shared" si="0"/>
        <v>0</v>
      </c>
      <c r="J10" s="57"/>
      <c r="K10" s="57"/>
      <c r="L10" s="57"/>
      <c r="M10" s="57"/>
      <c r="N10" s="57"/>
      <c r="O10" s="57"/>
      <c r="P10" s="57"/>
      <c r="Q10" s="57"/>
    </row>
    <row r="11" spans="1:20" ht="15.75" thickBot="1" x14ac:dyDescent="0.3">
      <c r="A11" s="9"/>
      <c r="B11" s="9"/>
      <c r="C11" s="54"/>
      <c r="D11" s="54"/>
      <c r="E11" s="54"/>
      <c r="F11" s="54"/>
      <c r="G11" s="9"/>
      <c r="H11" s="9"/>
      <c r="I11" s="16">
        <v>0.1</v>
      </c>
      <c r="J11" s="57"/>
      <c r="K11" s="57"/>
      <c r="L11" s="57"/>
      <c r="M11" s="57"/>
      <c r="N11" s="57"/>
      <c r="O11" s="57"/>
      <c r="P11" s="57"/>
      <c r="Q11" s="57"/>
    </row>
    <row r="12" spans="1:20" ht="15.75" thickBot="1" x14ac:dyDescent="0.3">
      <c r="A12" s="9"/>
      <c r="B12" s="9"/>
      <c r="C12" s="55" t="s">
        <v>37</v>
      </c>
      <c r="D12" s="56">
        <f>SUM(I5:I11)</f>
        <v>240.1</v>
      </c>
      <c r="E12" s="57"/>
      <c r="F12" s="57"/>
      <c r="G12" s="16"/>
      <c r="H12" s="16"/>
      <c r="I12" s="39" t="s">
        <v>28</v>
      </c>
      <c r="J12" s="30"/>
      <c r="K12" s="30"/>
      <c r="L12" s="30"/>
      <c r="M12" s="57"/>
      <c r="N12" s="57"/>
      <c r="O12" s="57"/>
      <c r="P12" s="57"/>
      <c r="Q12" s="57"/>
    </row>
    <row r="13" spans="1:20" x14ac:dyDescent="0.25">
      <c r="A13" s="16">
        <v>1</v>
      </c>
      <c r="B13" s="9"/>
      <c r="C13" s="54"/>
      <c r="D13" s="9"/>
      <c r="E13" s="32"/>
      <c r="F13" s="32"/>
      <c r="G13" s="16"/>
      <c r="H13" s="16"/>
      <c r="I13" s="39"/>
      <c r="J13" s="36"/>
      <c r="K13" s="36"/>
      <c r="L13" s="36"/>
      <c r="M13" s="36"/>
      <c r="N13" s="36"/>
      <c r="O13" s="36"/>
      <c r="P13" s="36"/>
      <c r="Q13" s="64"/>
    </row>
    <row r="14" spans="1:20" ht="15.75" thickBot="1" x14ac:dyDescent="0.3">
      <c r="A14" s="16"/>
      <c r="B14" s="9"/>
      <c r="C14" s="54"/>
      <c r="D14" s="54"/>
      <c r="E14" s="54"/>
      <c r="F14" s="54"/>
      <c r="G14" s="16"/>
      <c r="H14" s="16"/>
      <c r="I14" s="39"/>
      <c r="J14" s="39"/>
      <c r="K14" s="39"/>
      <c r="L14" s="39"/>
      <c r="M14" s="16"/>
      <c r="N14" s="16"/>
      <c r="O14" s="16"/>
      <c r="P14" s="16"/>
      <c r="Q14" s="22"/>
      <c r="R14" s="3"/>
      <c r="S14" s="3"/>
      <c r="T14" s="3"/>
    </row>
    <row r="15" spans="1:20" x14ac:dyDescent="0.25">
      <c r="A15" s="22"/>
      <c r="B15" s="72" t="s">
        <v>3</v>
      </c>
      <c r="C15" s="73"/>
      <c r="D15" s="73"/>
      <c r="E15" s="81" t="s">
        <v>40</v>
      </c>
      <c r="F15" s="82"/>
      <c r="G15" s="16"/>
      <c r="H15" s="16"/>
      <c r="I15" s="39" t="s">
        <v>28</v>
      </c>
      <c r="J15" s="39" t="s">
        <v>29</v>
      </c>
      <c r="K15" s="39"/>
      <c r="L15" s="39"/>
      <c r="M15" s="16"/>
      <c r="N15" s="16"/>
      <c r="O15" s="16"/>
      <c r="P15" s="16"/>
      <c r="Q15" s="22"/>
      <c r="R15" s="3"/>
      <c r="S15" s="3"/>
      <c r="T15" s="3"/>
    </row>
    <row r="16" spans="1:20" ht="15.75" thickBot="1" x14ac:dyDescent="0.3">
      <c r="A16" s="16"/>
      <c r="B16" s="65" t="s">
        <v>28</v>
      </c>
      <c r="C16" s="26" t="s">
        <v>42</v>
      </c>
      <c r="D16" s="26" t="s">
        <v>36</v>
      </c>
      <c r="E16" s="27" t="s">
        <v>46</v>
      </c>
      <c r="F16" s="28" t="s">
        <v>39</v>
      </c>
      <c r="G16" s="16"/>
      <c r="H16" s="16"/>
      <c r="I16" s="16"/>
      <c r="J16" s="39" t="s">
        <v>43</v>
      </c>
      <c r="K16" s="39" t="s">
        <v>44</v>
      </c>
      <c r="L16" s="16"/>
      <c r="M16" s="16"/>
      <c r="N16" s="16"/>
      <c r="O16" s="16"/>
      <c r="P16" s="16"/>
      <c r="Q16" s="22"/>
      <c r="R16" s="5"/>
      <c r="S16" s="5"/>
      <c r="T16" s="3"/>
    </row>
    <row r="17" spans="1:20" x14ac:dyDescent="0.25">
      <c r="A17" s="16">
        <v>1</v>
      </c>
      <c r="B17" s="30" t="str">
        <f t="shared" ref="B17:B32" si="1">VLOOKUP($A17,$M$17:$O$32,2,FALSE)</f>
        <v>EN 54C-2A7</v>
      </c>
      <c r="C17" s="31" t="str">
        <f t="shared" ref="C17:C32" si="2">_xlfn.CONCAT((VLOOKUP($A17,$M$17:$O$33,3,FALSE))/1000," A")</f>
        <v>1,6 A</v>
      </c>
      <c r="D17" s="31" t="str">
        <f>_xlfn.CONCAT((VLOOKUP($B17,$I$17:$L$32,3,FALSE))," ",$K$16)</f>
        <v>7 Ah</v>
      </c>
      <c r="E17" s="33">
        <f>VLOOKUP($B17,$I$17:$L$33,4,FALSE)</f>
        <v>23.323615160349856</v>
      </c>
      <c r="F17" s="66">
        <f>E17/24</f>
        <v>0.97181729834791064</v>
      </c>
      <c r="G17" s="16">
        <f t="shared" ref="G17:G33" si="3">IF($D$12&lt;$J17,1,0)</f>
        <v>1</v>
      </c>
      <c r="H17" s="16">
        <f>IF(G17=0,0,COUNTIF($G12:G$12,"&gt;0")+1)</f>
        <v>1</v>
      </c>
      <c r="I17" s="16" t="s">
        <v>12</v>
      </c>
      <c r="J17" s="39">
        <v>1600</v>
      </c>
      <c r="K17" s="39">
        <v>7</v>
      </c>
      <c r="L17" s="40">
        <f>$K17*0.8/$D$12*1000</f>
        <v>23.323615160349856</v>
      </c>
      <c r="M17" s="16">
        <v>1</v>
      </c>
      <c r="N17" s="16" t="str">
        <f t="shared" ref="N17:N33" si="4">VLOOKUP($M17,$H$17:$J$32,2,FALSE)</f>
        <v>EN 54C-2A7</v>
      </c>
      <c r="O17" s="16">
        <f t="shared" ref="O17:O33" si="5">VLOOKUP($M17,$H$17:$J$32,3,FALSE)</f>
        <v>1600</v>
      </c>
      <c r="P17" s="16" t="b">
        <f t="shared" ref="P17:P33" si="6">ISERROR(N17)</f>
        <v>0</v>
      </c>
      <c r="Q17" s="22"/>
      <c r="R17" s="5"/>
      <c r="S17" s="5"/>
      <c r="T17" s="3"/>
    </row>
    <row r="18" spans="1:20" x14ac:dyDescent="0.25">
      <c r="A18" s="16">
        <v>2</v>
      </c>
      <c r="B18" s="30" t="str">
        <f t="shared" si="1"/>
        <v>EN 54C-2A17</v>
      </c>
      <c r="C18" s="31" t="str">
        <f t="shared" si="2"/>
        <v>1,2 A</v>
      </c>
      <c r="D18" s="31" t="str">
        <f t="shared" ref="D18:D32" si="7">_xlfn.CONCAT((VLOOKUP($B18,$I$17:$L$32,3,FALSE))," ",$K$16)</f>
        <v>17 Ah</v>
      </c>
      <c r="E18" s="33">
        <f t="shared" ref="E18:E32" si="8">VLOOKUP($B18,$I$17:$L$33,4,FALSE)</f>
        <v>56.643065389421082</v>
      </c>
      <c r="F18" s="66">
        <f t="shared" ref="F18:F32" si="9">E18/24</f>
        <v>2.3601277245592116</v>
      </c>
      <c r="G18" s="16">
        <f t="shared" si="3"/>
        <v>1</v>
      </c>
      <c r="H18" s="16">
        <f>IF(G18=0,0,COUNTIF($G$12:G17,"&gt;0")+1)</f>
        <v>2</v>
      </c>
      <c r="I18" s="16" t="s">
        <v>13</v>
      </c>
      <c r="J18" s="39">
        <v>1200</v>
      </c>
      <c r="K18" s="39">
        <v>17</v>
      </c>
      <c r="L18" s="40">
        <f t="shared" ref="L18:L32" si="10">$K18*0.8/$D$12*1000</f>
        <v>56.643065389421082</v>
      </c>
      <c r="M18" s="16">
        <v>2</v>
      </c>
      <c r="N18" s="16" t="str">
        <f t="shared" si="4"/>
        <v>EN 54C-2A17</v>
      </c>
      <c r="O18" s="16">
        <f t="shared" si="5"/>
        <v>1200</v>
      </c>
      <c r="P18" s="16" t="b">
        <f t="shared" si="6"/>
        <v>0</v>
      </c>
      <c r="Q18" s="22"/>
      <c r="R18" s="5"/>
      <c r="S18" s="5"/>
      <c r="T18" s="3"/>
    </row>
    <row r="19" spans="1:20" x14ac:dyDescent="0.25">
      <c r="A19" s="16">
        <v>3</v>
      </c>
      <c r="B19" s="30" t="str">
        <f t="shared" si="1"/>
        <v>EN 54C-3A7</v>
      </c>
      <c r="C19" s="31" t="str">
        <f t="shared" si="2"/>
        <v>2,2 A</v>
      </c>
      <c r="D19" s="31" t="str">
        <f t="shared" si="7"/>
        <v>7 Ah</v>
      </c>
      <c r="E19" s="33">
        <f t="shared" si="8"/>
        <v>23.323615160349856</v>
      </c>
      <c r="F19" s="66">
        <f t="shared" si="9"/>
        <v>0.97181729834791064</v>
      </c>
      <c r="G19" s="16">
        <f t="shared" si="3"/>
        <v>1</v>
      </c>
      <c r="H19" s="16">
        <f>IF(G19=0,0,COUNTIF($G$12:G18,"&gt;0")+1)</f>
        <v>3</v>
      </c>
      <c r="I19" s="16" t="s">
        <v>14</v>
      </c>
      <c r="J19" s="39">
        <v>2200</v>
      </c>
      <c r="K19" s="39">
        <v>7</v>
      </c>
      <c r="L19" s="40">
        <f t="shared" si="10"/>
        <v>23.323615160349856</v>
      </c>
      <c r="M19" s="16">
        <v>3</v>
      </c>
      <c r="N19" s="16" t="str">
        <f t="shared" si="4"/>
        <v>EN 54C-3A7</v>
      </c>
      <c r="O19" s="16">
        <f t="shared" si="5"/>
        <v>2200</v>
      </c>
      <c r="P19" s="16" t="b">
        <f t="shared" si="6"/>
        <v>0</v>
      </c>
      <c r="Q19" s="22"/>
      <c r="R19" s="5"/>
      <c r="S19" s="5"/>
      <c r="T19" s="3"/>
    </row>
    <row r="20" spans="1:20" x14ac:dyDescent="0.25">
      <c r="A20" s="16">
        <v>4</v>
      </c>
      <c r="B20" s="30" t="str">
        <f t="shared" si="1"/>
        <v>EN 54C-3A17</v>
      </c>
      <c r="C20" s="31" t="str">
        <f t="shared" si="2"/>
        <v>2,6 A</v>
      </c>
      <c r="D20" s="31" t="str">
        <f t="shared" si="7"/>
        <v>17 Ah</v>
      </c>
      <c r="E20" s="33">
        <f t="shared" si="8"/>
        <v>56.643065389421082</v>
      </c>
      <c r="F20" s="66">
        <f t="shared" si="9"/>
        <v>2.3601277245592116</v>
      </c>
      <c r="G20" s="16">
        <f t="shared" si="3"/>
        <v>1</v>
      </c>
      <c r="H20" s="16">
        <f>IF(G20=0,0,COUNTIF($G$12:G19,"&gt;0")+1)</f>
        <v>4</v>
      </c>
      <c r="I20" s="16" t="s">
        <v>15</v>
      </c>
      <c r="J20" s="39">
        <v>2600</v>
      </c>
      <c r="K20" s="39">
        <v>17</v>
      </c>
      <c r="L20" s="40">
        <f t="shared" si="10"/>
        <v>56.643065389421082</v>
      </c>
      <c r="M20" s="16">
        <v>4</v>
      </c>
      <c r="N20" s="16" t="str">
        <f t="shared" si="4"/>
        <v>EN 54C-3A17</v>
      </c>
      <c r="O20" s="16">
        <f t="shared" si="5"/>
        <v>2600</v>
      </c>
      <c r="P20" s="16" t="b">
        <f t="shared" si="6"/>
        <v>0</v>
      </c>
      <c r="Q20" s="22"/>
      <c r="R20" s="5"/>
      <c r="S20" s="5"/>
      <c r="T20" s="3"/>
    </row>
    <row r="21" spans="1:20" x14ac:dyDescent="0.25">
      <c r="A21" s="16">
        <v>5</v>
      </c>
      <c r="B21" s="30" t="str">
        <f t="shared" si="1"/>
        <v>EN 54C-3A28</v>
      </c>
      <c r="C21" s="31" t="str">
        <f t="shared" si="2"/>
        <v>2,2 A</v>
      </c>
      <c r="D21" s="31" t="str">
        <f t="shared" si="7"/>
        <v>24 Ah</v>
      </c>
      <c r="E21" s="33">
        <f t="shared" si="8"/>
        <v>79.966680549770956</v>
      </c>
      <c r="F21" s="66">
        <f t="shared" si="9"/>
        <v>3.331945022907123</v>
      </c>
      <c r="G21" s="16">
        <f t="shared" si="3"/>
        <v>1</v>
      </c>
      <c r="H21" s="16">
        <f>IF(G21=0,0,COUNTIF($G$12:G20,"&gt;0")+1)</f>
        <v>5</v>
      </c>
      <c r="I21" s="16" t="s">
        <v>16</v>
      </c>
      <c r="J21" s="39">
        <v>2200</v>
      </c>
      <c r="K21" s="39">
        <v>24</v>
      </c>
      <c r="L21" s="40">
        <f t="shared" si="10"/>
        <v>79.966680549770956</v>
      </c>
      <c r="M21" s="16">
        <v>5</v>
      </c>
      <c r="N21" s="16" t="str">
        <f t="shared" si="4"/>
        <v>EN 54C-3A28</v>
      </c>
      <c r="O21" s="16">
        <f t="shared" si="5"/>
        <v>2200</v>
      </c>
      <c r="P21" s="16" t="b">
        <f t="shared" si="6"/>
        <v>0</v>
      </c>
      <c r="Q21" s="22"/>
      <c r="R21" s="5"/>
      <c r="S21" s="5"/>
      <c r="T21" s="3"/>
    </row>
    <row r="22" spans="1:20" x14ac:dyDescent="0.25">
      <c r="A22" s="16">
        <v>6</v>
      </c>
      <c r="B22" s="30" t="str">
        <f t="shared" si="1"/>
        <v>EN 54C-5A7</v>
      </c>
      <c r="C22" s="31" t="str">
        <f t="shared" si="2"/>
        <v>4,6 A</v>
      </c>
      <c r="D22" s="31" t="str">
        <f t="shared" si="7"/>
        <v>7 Ah</v>
      </c>
      <c r="E22" s="33">
        <f t="shared" si="8"/>
        <v>23.323615160349856</v>
      </c>
      <c r="F22" s="66">
        <f t="shared" si="9"/>
        <v>0.97181729834791064</v>
      </c>
      <c r="G22" s="16">
        <f t="shared" si="3"/>
        <v>1</v>
      </c>
      <c r="H22" s="16">
        <f>IF(G22=0,0,COUNTIF($G$12:G21,"&gt;0")+1)</f>
        <v>6</v>
      </c>
      <c r="I22" s="16" t="s">
        <v>17</v>
      </c>
      <c r="J22" s="39">
        <v>4600</v>
      </c>
      <c r="K22" s="39">
        <v>7</v>
      </c>
      <c r="L22" s="40">
        <f t="shared" si="10"/>
        <v>23.323615160349856</v>
      </c>
      <c r="M22" s="16">
        <v>6</v>
      </c>
      <c r="N22" s="16" t="str">
        <f t="shared" si="4"/>
        <v>EN 54C-5A7</v>
      </c>
      <c r="O22" s="16">
        <f t="shared" si="5"/>
        <v>4600</v>
      </c>
      <c r="P22" s="16" t="b">
        <f t="shared" si="6"/>
        <v>0</v>
      </c>
      <c r="Q22" s="22"/>
      <c r="R22" s="5"/>
      <c r="S22" s="5"/>
      <c r="T22" s="3"/>
    </row>
    <row r="23" spans="1:20" x14ac:dyDescent="0.25">
      <c r="A23" s="16">
        <v>7</v>
      </c>
      <c r="B23" s="30" t="str">
        <f t="shared" si="1"/>
        <v>EN 54C-5A17</v>
      </c>
      <c r="C23" s="31" t="str">
        <f t="shared" si="2"/>
        <v>4,2 A</v>
      </c>
      <c r="D23" s="31" t="str">
        <f t="shared" si="7"/>
        <v>17 Ah</v>
      </c>
      <c r="E23" s="33">
        <f t="shared" si="8"/>
        <v>56.643065389421082</v>
      </c>
      <c r="F23" s="66">
        <f t="shared" si="9"/>
        <v>2.3601277245592116</v>
      </c>
      <c r="G23" s="16">
        <f t="shared" si="3"/>
        <v>1</v>
      </c>
      <c r="H23" s="16">
        <f>IF(G23=0,0,COUNTIF($G$12:G22,"&gt;0")+1)</f>
        <v>7</v>
      </c>
      <c r="I23" s="16" t="s">
        <v>18</v>
      </c>
      <c r="J23" s="39">
        <v>4200</v>
      </c>
      <c r="K23" s="39">
        <v>17</v>
      </c>
      <c r="L23" s="40">
        <f t="shared" si="10"/>
        <v>56.643065389421082</v>
      </c>
      <c r="M23" s="16">
        <v>7</v>
      </c>
      <c r="N23" s="16" t="str">
        <f t="shared" si="4"/>
        <v>EN 54C-5A17</v>
      </c>
      <c r="O23" s="16">
        <f t="shared" si="5"/>
        <v>4200</v>
      </c>
      <c r="P23" s="16" t="b">
        <f t="shared" si="6"/>
        <v>0</v>
      </c>
      <c r="Q23" s="22"/>
      <c r="R23" s="5"/>
      <c r="S23" s="5"/>
      <c r="T23" s="3"/>
    </row>
    <row r="24" spans="1:20" x14ac:dyDescent="0.25">
      <c r="A24" s="16">
        <v>8</v>
      </c>
      <c r="B24" s="30" t="str">
        <f t="shared" si="1"/>
        <v>EN 54C-5A28</v>
      </c>
      <c r="C24" s="31" t="str">
        <f t="shared" si="2"/>
        <v>3,8 A</v>
      </c>
      <c r="D24" s="31" t="str">
        <f t="shared" si="7"/>
        <v>24 Ah</v>
      </c>
      <c r="E24" s="33">
        <f t="shared" si="8"/>
        <v>79.966680549770956</v>
      </c>
      <c r="F24" s="66">
        <f t="shared" si="9"/>
        <v>3.331945022907123</v>
      </c>
      <c r="G24" s="16">
        <f t="shared" si="3"/>
        <v>1</v>
      </c>
      <c r="H24" s="16">
        <f>IF(G24=0,0,COUNTIF($G$12:G23,"&gt;0")+1)</f>
        <v>8</v>
      </c>
      <c r="I24" s="16" t="s">
        <v>19</v>
      </c>
      <c r="J24" s="39">
        <v>3800</v>
      </c>
      <c r="K24" s="39">
        <v>24</v>
      </c>
      <c r="L24" s="40">
        <f t="shared" si="10"/>
        <v>79.966680549770956</v>
      </c>
      <c r="M24" s="16">
        <v>8</v>
      </c>
      <c r="N24" s="16" t="str">
        <f t="shared" si="4"/>
        <v>EN 54C-5A28</v>
      </c>
      <c r="O24" s="16">
        <f t="shared" si="5"/>
        <v>3800</v>
      </c>
      <c r="P24" s="16" t="b">
        <f t="shared" si="6"/>
        <v>0</v>
      </c>
      <c r="Q24" s="22"/>
      <c r="R24" s="5"/>
      <c r="S24" s="5"/>
      <c r="T24" s="3"/>
    </row>
    <row r="25" spans="1:20" x14ac:dyDescent="0.25">
      <c r="A25" s="16">
        <v>9</v>
      </c>
      <c r="B25" s="30" t="str">
        <f t="shared" si="1"/>
        <v>EN 54C-5A40</v>
      </c>
      <c r="C25" s="31" t="str">
        <f t="shared" si="2"/>
        <v>3,2 A</v>
      </c>
      <c r="D25" s="31" t="str">
        <f t="shared" si="7"/>
        <v>40 Ah</v>
      </c>
      <c r="E25" s="33">
        <f t="shared" si="8"/>
        <v>133.27780091628489</v>
      </c>
      <c r="F25" s="66">
        <f t="shared" si="9"/>
        <v>5.5532417048452034</v>
      </c>
      <c r="G25" s="16">
        <f t="shared" si="3"/>
        <v>1</v>
      </c>
      <c r="H25" s="16">
        <f>IF(G25=0,0,COUNTIF($G$12:G24,"&gt;0")+1)</f>
        <v>9</v>
      </c>
      <c r="I25" s="16" t="s">
        <v>20</v>
      </c>
      <c r="J25" s="39">
        <v>3200</v>
      </c>
      <c r="K25" s="39">
        <v>40</v>
      </c>
      <c r="L25" s="40">
        <f t="shared" si="10"/>
        <v>133.27780091628489</v>
      </c>
      <c r="M25" s="16">
        <v>9</v>
      </c>
      <c r="N25" s="16" t="str">
        <f t="shared" si="4"/>
        <v>EN 54C-5A40</v>
      </c>
      <c r="O25" s="16">
        <f t="shared" si="5"/>
        <v>3200</v>
      </c>
      <c r="P25" s="16" t="b">
        <f t="shared" si="6"/>
        <v>0</v>
      </c>
      <c r="Q25" s="22"/>
      <c r="R25" s="5"/>
      <c r="S25" s="5"/>
      <c r="T25" s="3"/>
    </row>
    <row r="26" spans="1:20" x14ac:dyDescent="0.25">
      <c r="A26" s="16">
        <v>10</v>
      </c>
      <c r="B26" s="30" t="str">
        <f t="shared" si="1"/>
        <v>EN 54C-5A65</v>
      </c>
      <c r="C26" s="31" t="str">
        <f t="shared" si="2"/>
        <v>2,4 A</v>
      </c>
      <c r="D26" s="31" t="str">
        <f t="shared" si="7"/>
        <v>65 Ah</v>
      </c>
      <c r="E26" s="33">
        <f t="shared" si="8"/>
        <v>216.57642648896294</v>
      </c>
      <c r="F26" s="66">
        <f t="shared" si="9"/>
        <v>9.0240177703734563</v>
      </c>
      <c r="G26" s="16">
        <f t="shared" si="3"/>
        <v>1</v>
      </c>
      <c r="H26" s="16">
        <f>IF(G26=0,0,COUNTIF($G$12:G25,"&gt;0")+1)</f>
        <v>10</v>
      </c>
      <c r="I26" s="16" t="s">
        <v>21</v>
      </c>
      <c r="J26" s="39">
        <v>2400</v>
      </c>
      <c r="K26" s="39">
        <v>65</v>
      </c>
      <c r="L26" s="40">
        <f t="shared" si="10"/>
        <v>216.57642648896294</v>
      </c>
      <c r="M26" s="16">
        <v>10</v>
      </c>
      <c r="N26" s="16" t="str">
        <f t="shared" si="4"/>
        <v>EN 54C-5A65</v>
      </c>
      <c r="O26" s="16">
        <f t="shared" si="5"/>
        <v>2400</v>
      </c>
      <c r="P26" s="16" t="b">
        <f t="shared" si="6"/>
        <v>0</v>
      </c>
      <c r="Q26" s="22"/>
      <c r="R26" s="5"/>
      <c r="S26" s="5"/>
      <c r="T26" s="3"/>
    </row>
    <row r="27" spans="1:20" x14ac:dyDescent="0.25">
      <c r="A27" s="16">
        <v>11</v>
      </c>
      <c r="B27" s="30" t="str">
        <f t="shared" si="1"/>
        <v>EN 54C-10A17</v>
      </c>
      <c r="C27" s="31" t="str">
        <f t="shared" si="2"/>
        <v>9,2 A</v>
      </c>
      <c r="D27" s="31" t="str">
        <f t="shared" si="7"/>
        <v>17 Ah</v>
      </c>
      <c r="E27" s="33">
        <f t="shared" si="8"/>
        <v>56.643065389421082</v>
      </c>
      <c r="F27" s="66">
        <f t="shared" si="9"/>
        <v>2.3601277245592116</v>
      </c>
      <c r="G27" s="16">
        <f t="shared" si="3"/>
        <v>1</v>
      </c>
      <c r="H27" s="16">
        <f>IF(G27=0,0,COUNTIF($G$12:G26,"&gt;0")+1)</f>
        <v>11</v>
      </c>
      <c r="I27" s="16" t="s">
        <v>22</v>
      </c>
      <c r="J27" s="39">
        <v>9200</v>
      </c>
      <c r="K27" s="39">
        <v>17</v>
      </c>
      <c r="L27" s="40">
        <f t="shared" si="10"/>
        <v>56.643065389421082</v>
      </c>
      <c r="M27" s="16">
        <v>11</v>
      </c>
      <c r="N27" s="16" t="str">
        <f t="shared" si="4"/>
        <v>EN 54C-10A17</v>
      </c>
      <c r="O27" s="16">
        <f t="shared" si="5"/>
        <v>9200</v>
      </c>
      <c r="P27" s="16" t="b">
        <f t="shared" si="6"/>
        <v>0</v>
      </c>
      <c r="Q27" s="22"/>
      <c r="R27" s="5"/>
      <c r="S27" s="5"/>
      <c r="T27" s="3"/>
    </row>
    <row r="28" spans="1:20" x14ac:dyDescent="0.25">
      <c r="A28" s="16">
        <v>12</v>
      </c>
      <c r="B28" s="30" t="str">
        <f t="shared" si="1"/>
        <v>EN 54C-10A28</v>
      </c>
      <c r="C28" s="31" t="str">
        <f t="shared" si="2"/>
        <v>8,8 A</v>
      </c>
      <c r="D28" s="31" t="str">
        <f t="shared" si="7"/>
        <v>24 Ah</v>
      </c>
      <c r="E28" s="33">
        <f t="shared" si="8"/>
        <v>79.966680549770956</v>
      </c>
      <c r="F28" s="66">
        <f t="shared" si="9"/>
        <v>3.331945022907123</v>
      </c>
      <c r="G28" s="16">
        <f t="shared" si="3"/>
        <v>1</v>
      </c>
      <c r="H28" s="16">
        <f>IF(G28=0,0,COUNTIF($G$12:G27,"&gt;0")+1)</f>
        <v>12</v>
      </c>
      <c r="I28" s="16" t="s">
        <v>23</v>
      </c>
      <c r="J28" s="39">
        <v>8800</v>
      </c>
      <c r="K28" s="39">
        <v>24</v>
      </c>
      <c r="L28" s="40">
        <f t="shared" si="10"/>
        <v>79.966680549770956</v>
      </c>
      <c r="M28" s="16">
        <v>12</v>
      </c>
      <c r="N28" s="16" t="str">
        <f t="shared" si="4"/>
        <v>EN 54C-10A28</v>
      </c>
      <c r="O28" s="16">
        <f t="shared" si="5"/>
        <v>8800</v>
      </c>
      <c r="P28" s="16" t="b">
        <f t="shared" si="6"/>
        <v>0</v>
      </c>
      <c r="Q28" s="22"/>
      <c r="R28" s="5"/>
      <c r="S28" s="5"/>
      <c r="T28" s="3"/>
    </row>
    <row r="29" spans="1:20" x14ac:dyDescent="0.25">
      <c r="A29" s="16">
        <v>13</v>
      </c>
      <c r="B29" s="30" t="str">
        <f t="shared" si="1"/>
        <v>EN 54C-10A40</v>
      </c>
      <c r="C29" s="31" t="str">
        <f t="shared" si="2"/>
        <v>8,2 A</v>
      </c>
      <c r="D29" s="31" t="str">
        <f t="shared" si="7"/>
        <v>40 Ah</v>
      </c>
      <c r="E29" s="33">
        <f t="shared" si="8"/>
        <v>133.27780091628489</v>
      </c>
      <c r="F29" s="66">
        <f t="shared" si="9"/>
        <v>5.5532417048452034</v>
      </c>
      <c r="G29" s="16">
        <f t="shared" si="3"/>
        <v>1</v>
      </c>
      <c r="H29" s="16">
        <f>IF(G29=0,0,COUNTIF($G$12:G28,"&gt;0")+1)</f>
        <v>13</v>
      </c>
      <c r="I29" s="16" t="s">
        <v>24</v>
      </c>
      <c r="J29" s="39">
        <v>8200</v>
      </c>
      <c r="K29" s="39">
        <v>40</v>
      </c>
      <c r="L29" s="40">
        <f t="shared" si="10"/>
        <v>133.27780091628489</v>
      </c>
      <c r="M29" s="16">
        <v>13</v>
      </c>
      <c r="N29" s="16" t="str">
        <f t="shared" si="4"/>
        <v>EN 54C-10A40</v>
      </c>
      <c r="O29" s="16">
        <f t="shared" si="5"/>
        <v>8200</v>
      </c>
      <c r="P29" s="16" t="b">
        <f t="shared" si="6"/>
        <v>0</v>
      </c>
      <c r="Q29" s="22"/>
      <c r="R29" s="5"/>
      <c r="S29" s="5"/>
      <c r="T29" s="3"/>
    </row>
    <row r="30" spans="1:20" x14ac:dyDescent="0.25">
      <c r="A30" s="16">
        <v>14</v>
      </c>
      <c r="B30" s="30" t="str">
        <f t="shared" si="1"/>
        <v>EN 54C-10A65</v>
      </c>
      <c r="C30" s="31" t="str">
        <f t="shared" si="2"/>
        <v>7,4 A</v>
      </c>
      <c r="D30" s="31" t="str">
        <f t="shared" si="7"/>
        <v>65 Ah</v>
      </c>
      <c r="E30" s="33">
        <f t="shared" si="8"/>
        <v>216.57642648896294</v>
      </c>
      <c r="F30" s="66">
        <f t="shared" si="9"/>
        <v>9.0240177703734563</v>
      </c>
      <c r="G30" s="16">
        <f t="shared" si="3"/>
        <v>1</v>
      </c>
      <c r="H30" s="16">
        <f>IF(G30=0,0,COUNTIF($G$12:G29,"&gt;0")+1)</f>
        <v>14</v>
      </c>
      <c r="I30" s="16" t="s">
        <v>25</v>
      </c>
      <c r="J30" s="39">
        <v>7400</v>
      </c>
      <c r="K30" s="39">
        <v>65</v>
      </c>
      <c r="L30" s="40">
        <f t="shared" si="10"/>
        <v>216.57642648896294</v>
      </c>
      <c r="M30" s="16">
        <v>14</v>
      </c>
      <c r="N30" s="16" t="str">
        <f t="shared" si="4"/>
        <v>EN 54C-10A65</v>
      </c>
      <c r="O30" s="16">
        <f t="shared" si="5"/>
        <v>7400</v>
      </c>
      <c r="P30" s="16" t="b">
        <f t="shared" si="6"/>
        <v>0</v>
      </c>
      <c r="Q30" s="22"/>
      <c r="R30" s="5"/>
      <c r="S30" s="5"/>
      <c r="T30" s="3"/>
    </row>
    <row r="31" spans="1:20" x14ac:dyDescent="0.25">
      <c r="A31" s="16">
        <v>15</v>
      </c>
      <c r="B31" s="30" t="str">
        <f t="shared" si="1"/>
        <v>AWZG2-24V2A-B</v>
      </c>
      <c r="C31" s="31" t="str">
        <f t="shared" si="2"/>
        <v>2 A</v>
      </c>
      <c r="D31" s="31" t="str">
        <f t="shared" si="7"/>
        <v>7 Ah</v>
      </c>
      <c r="E31" s="33">
        <f t="shared" si="8"/>
        <v>23.323615160349856</v>
      </c>
      <c r="F31" s="66">
        <f t="shared" si="9"/>
        <v>0.97181729834791064</v>
      </c>
      <c r="G31" s="16">
        <f t="shared" si="3"/>
        <v>1</v>
      </c>
      <c r="H31" s="16">
        <f>IF(G31=0,0,COUNTIF($G$12:G30,"&gt;0")+1)</f>
        <v>15</v>
      </c>
      <c r="I31" s="16" t="s">
        <v>26</v>
      </c>
      <c r="J31" s="39">
        <v>2000</v>
      </c>
      <c r="K31" s="39">
        <v>7</v>
      </c>
      <c r="L31" s="40">
        <f t="shared" si="10"/>
        <v>23.323615160349856</v>
      </c>
      <c r="M31" s="16">
        <v>15</v>
      </c>
      <c r="N31" s="16" t="str">
        <f t="shared" si="4"/>
        <v>AWZG2-24V2A-B</v>
      </c>
      <c r="O31" s="16">
        <f t="shared" si="5"/>
        <v>2000</v>
      </c>
      <c r="P31" s="16" t="b">
        <f t="shared" si="6"/>
        <v>0</v>
      </c>
      <c r="Q31" s="22"/>
      <c r="R31" s="5"/>
      <c r="S31" s="5"/>
    </row>
    <row r="32" spans="1:20" x14ac:dyDescent="0.25">
      <c r="A32" s="16">
        <v>16</v>
      </c>
      <c r="B32" s="30" t="str">
        <f t="shared" si="1"/>
        <v>AWZG2-24V3A-C</v>
      </c>
      <c r="C32" s="31" t="str">
        <f t="shared" si="2"/>
        <v>3 A</v>
      </c>
      <c r="D32" s="31" t="str">
        <f t="shared" si="7"/>
        <v>17 Ah</v>
      </c>
      <c r="E32" s="33">
        <f t="shared" si="8"/>
        <v>56.643065389421082</v>
      </c>
      <c r="F32" s="66">
        <f t="shared" si="9"/>
        <v>2.3601277245592116</v>
      </c>
      <c r="G32" s="16">
        <f t="shared" si="3"/>
        <v>1</v>
      </c>
      <c r="H32" s="16">
        <f>IF(G32=0,0,COUNTIF($G$12:G31,"&gt;0")+1)</f>
        <v>16</v>
      </c>
      <c r="I32" s="16" t="s">
        <v>27</v>
      </c>
      <c r="J32" s="39">
        <v>3000</v>
      </c>
      <c r="K32" s="39">
        <v>17</v>
      </c>
      <c r="L32" s="40">
        <f t="shared" si="10"/>
        <v>56.643065389421082</v>
      </c>
      <c r="M32" s="16">
        <v>16</v>
      </c>
      <c r="N32" s="16" t="str">
        <f t="shared" si="4"/>
        <v>AWZG2-24V3A-C</v>
      </c>
      <c r="O32" s="16">
        <f t="shared" si="5"/>
        <v>3000</v>
      </c>
      <c r="P32" s="16" t="b">
        <f t="shared" si="6"/>
        <v>0</v>
      </c>
      <c r="Q32" s="22"/>
      <c r="R32" s="5"/>
      <c r="S32" s="5"/>
    </row>
    <row r="33" spans="1:19" x14ac:dyDescent="0.25">
      <c r="A33" s="9"/>
      <c r="B33" s="9"/>
      <c r="C33" s="9"/>
      <c r="D33" s="23"/>
      <c r="E33" s="23"/>
      <c r="F33" s="23"/>
      <c r="G33" s="16">
        <f t="shared" si="3"/>
        <v>0</v>
      </c>
      <c r="H33" s="16">
        <f>IF(G33=0,0,COUNTIF($G$12:G32,"&gt;0")+1)</f>
        <v>0</v>
      </c>
      <c r="I33" s="16"/>
      <c r="J33" s="39"/>
      <c r="K33" s="39"/>
      <c r="L33" s="39"/>
      <c r="M33" s="16">
        <v>17</v>
      </c>
      <c r="N33" s="16" t="e">
        <f t="shared" si="4"/>
        <v>#N/A</v>
      </c>
      <c r="O33" s="16" t="e">
        <f t="shared" si="5"/>
        <v>#N/A</v>
      </c>
      <c r="P33" s="16" t="b">
        <f t="shared" si="6"/>
        <v>1</v>
      </c>
      <c r="Q33" s="22"/>
      <c r="R33" s="5"/>
      <c r="S33" s="5"/>
    </row>
    <row r="34" spans="1:19" x14ac:dyDescent="0.25">
      <c r="A34" s="9"/>
      <c r="B34" s="9"/>
      <c r="C34" s="54"/>
      <c r="D34" s="23"/>
      <c r="E34" s="23"/>
      <c r="F34" s="23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2"/>
      <c r="R34" s="5"/>
      <c r="S34" s="5"/>
    </row>
    <row r="35" spans="1:19" x14ac:dyDescent="0.25">
      <c r="A35" s="9"/>
      <c r="B35" s="9"/>
      <c r="C35" s="9"/>
      <c r="D35" s="23"/>
      <c r="E35" s="23"/>
      <c r="F35" s="23"/>
      <c r="G35" s="16"/>
      <c r="H35" s="16"/>
      <c r="I35" s="16"/>
      <c r="J35" s="36"/>
      <c r="K35" s="36"/>
      <c r="L35" s="36"/>
      <c r="M35" s="16"/>
      <c r="N35" s="16"/>
      <c r="O35" s="16"/>
      <c r="P35" s="16"/>
      <c r="Q35" s="23"/>
      <c r="R35" s="5"/>
      <c r="S35" s="5"/>
    </row>
    <row r="36" spans="1:19" x14ac:dyDescent="0.25">
      <c r="A36" s="9"/>
      <c r="B36" s="10"/>
      <c r="C36" s="10"/>
      <c r="D36" s="23"/>
      <c r="E36" s="23"/>
      <c r="F36" s="23"/>
      <c r="G36" s="16"/>
      <c r="H36" s="16"/>
      <c r="I36" s="16"/>
      <c r="J36" s="39"/>
      <c r="K36" s="39"/>
      <c r="L36" s="39"/>
      <c r="M36" s="16"/>
      <c r="N36" s="16"/>
      <c r="O36" s="16"/>
      <c r="P36" s="16"/>
      <c r="Q36" s="23"/>
      <c r="R36" s="5"/>
      <c r="S36" s="5"/>
    </row>
    <row r="37" spans="1:19" x14ac:dyDescent="0.25">
      <c r="C37" s="2"/>
      <c r="I37" s="1"/>
      <c r="J37" s="2"/>
      <c r="K37" s="2"/>
      <c r="L37" s="2"/>
    </row>
    <row r="38" spans="1:19" x14ac:dyDescent="0.25">
      <c r="C38" s="2"/>
      <c r="D38" s="4"/>
      <c r="E38" s="4"/>
      <c r="F38" s="4"/>
      <c r="I38" s="1"/>
      <c r="J38" s="2"/>
      <c r="K38" s="2"/>
      <c r="L38" s="2"/>
    </row>
    <row r="39" spans="1:19" x14ac:dyDescent="0.25">
      <c r="C39" s="2"/>
      <c r="D39" s="2"/>
      <c r="E39" s="2"/>
      <c r="F39" s="2"/>
      <c r="I39" s="1"/>
      <c r="J39" s="2"/>
      <c r="K39" s="2"/>
      <c r="L39" s="2"/>
    </row>
    <row r="40" spans="1:19" x14ac:dyDescent="0.25">
      <c r="C40" s="2"/>
      <c r="D40" s="2"/>
      <c r="E40" s="2"/>
      <c r="F40" s="2"/>
    </row>
    <row r="41" spans="1:19" x14ac:dyDescent="0.25">
      <c r="D41" s="2"/>
      <c r="E41" s="2"/>
      <c r="F41" s="2"/>
      <c r="I41" s="2"/>
      <c r="J41" s="2"/>
      <c r="K41" s="2"/>
      <c r="L41" s="2"/>
    </row>
    <row r="42" spans="1:19" x14ac:dyDescent="0.25">
      <c r="B42" s="83"/>
      <c r="C42" s="83"/>
      <c r="D42" s="2"/>
      <c r="E42" s="2"/>
      <c r="F42" s="2"/>
    </row>
  </sheetData>
  <sheetProtection algorithmName="SHA-512" hashValue="Ib7EGC5QYNSScpdAGZTmjS77tGdv4QqGzPKY3LGKU2L8kM9hsyf0fFssSa1Gcewh5veGvXcU2Ev2O1wxRaXiWw==" saltValue="NvvKV/Yr0yMecRDEexER6A==" spinCount="100000" sheet="1" objects="1" scenarios="1" selectLockedCells="1"/>
  <mergeCells count="6">
    <mergeCell ref="B2:D2"/>
    <mergeCell ref="M3:Q3"/>
    <mergeCell ref="J4:Q4"/>
    <mergeCell ref="B15:D15"/>
    <mergeCell ref="E15:F15"/>
    <mergeCell ref="B42:C42"/>
  </mergeCells>
  <conditionalFormatting sqref="B17:B32">
    <cfRule type="expression" dxfId="4" priority="4">
      <formula>P17=FALSE</formula>
    </cfRule>
  </conditionalFormatting>
  <conditionalFormatting sqref="C17:C32">
    <cfRule type="expression" dxfId="3" priority="5">
      <formula>P17=FALSE</formula>
    </cfRule>
  </conditionalFormatting>
  <conditionalFormatting sqref="D17:D32">
    <cfRule type="expression" dxfId="2" priority="3">
      <formula>P17=FALSE</formula>
    </cfRule>
  </conditionalFormatting>
  <conditionalFormatting sqref="E17:E32">
    <cfRule type="expression" dxfId="1" priority="2">
      <formula>P17=FALSE</formula>
    </cfRule>
  </conditionalFormatting>
  <conditionalFormatting sqref="F17:F32">
    <cfRule type="expression" dxfId="0" priority="1">
      <formula>P17=FALSE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24V EPS přídržné magnety </vt:lpstr>
      <vt:lpstr>12V EKV magnetické přídrže</vt:lpstr>
      <vt:lpstr>24V EKV magnetické přídrže_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</dc:creator>
  <cp:lastModifiedBy>Miloš Tesař</cp:lastModifiedBy>
  <dcterms:created xsi:type="dcterms:W3CDTF">2015-06-05T18:19:34Z</dcterms:created>
  <dcterms:modified xsi:type="dcterms:W3CDTF">2025-01-06T11:48:00Z</dcterms:modified>
</cp:coreProperties>
</file>